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95" windowWidth="14805" windowHeight="7920"/>
  </bookViews>
  <sheets>
    <sheet name="水道料金計算表" sheetId="1" r:id="rId1"/>
    <sheet name="マスタ" sheetId="2" state="hidden" r:id="rId2"/>
    <sheet name="集合用途料金計算表" sheetId="4" r:id="rId3"/>
  </sheets>
  <definedNames>
    <definedName name="_xlnm.Print_Area" localSheetId="2">集合用途料金計算表!$B$1:$I$22</definedName>
    <definedName name="一段階始">水道料金計算表!$N$9</definedName>
    <definedName name="一段階始下">水道料金計算表!$N$22</definedName>
    <definedName name="一段階終">水道料金計算表!$P$9</definedName>
    <definedName name="一段階終下">水道料金計算表!$P$22</definedName>
    <definedName name="一般汚水一段階始">マスタ!$I$26</definedName>
    <definedName name="一般汚水一段階終">マスタ!$K$26</definedName>
    <definedName name="一般汚水一段階超過料金">マスタ!$L$26</definedName>
    <definedName name="一般汚水基本水量">マスタ!$G$26</definedName>
    <definedName name="一般汚水基本料金">マスタ!$H$26</definedName>
    <definedName name="一般汚水九段階始">マスタ!$I$34</definedName>
    <definedName name="一般汚水九段階終">マスタ!$K$34</definedName>
    <definedName name="一般汚水九段階超過料金">マスタ!$L$34</definedName>
    <definedName name="一般汚水五段階始">マスタ!$I$30</definedName>
    <definedName name="一般汚水五段階終">マスタ!$K$30</definedName>
    <definedName name="一般汚水五段階超過料金">マスタ!$L$30</definedName>
    <definedName name="一般汚水三段階始">マスタ!$I$28</definedName>
    <definedName name="一般汚水三段階終">マスタ!$K$28</definedName>
    <definedName name="一般汚水三段階超過料金">マスタ!$L$28</definedName>
    <definedName name="一般汚水四段階始">マスタ!$I$29</definedName>
    <definedName name="一般汚水四段階終">マスタ!$K$29</definedName>
    <definedName name="一般汚水四段階超過料金">マスタ!$L$29</definedName>
    <definedName name="一般汚水七段階始">マスタ!$I$32</definedName>
    <definedName name="一般汚水七段階終">マスタ!$K$32</definedName>
    <definedName name="一般汚水七段階超過料金">マスタ!$L$32</definedName>
    <definedName name="一般汚水二段階始">マスタ!$I$27</definedName>
    <definedName name="一般汚水二段階終">マスタ!$K$27</definedName>
    <definedName name="一般汚水二段階超過料金">マスタ!$L$27</definedName>
    <definedName name="一般汚水八段階始">マスタ!$I$33</definedName>
    <definedName name="一般汚水八段階終">マスタ!$K$33</definedName>
    <definedName name="一般汚水八段階超過料金">マスタ!$L$33</definedName>
    <definedName name="一般汚水六段階始">マスタ!$I$31</definedName>
    <definedName name="一般汚水六段階終">マスタ!$K$31</definedName>
    <definedName name="一般汚水六段階超過料金">マスタ!$L$31</definedName>
    <definedName name="営業用・官公署用一段階始">マスタ!$I$11</definedName>
    <definedName name="営業用・官公署用一段階終">マスタ!$K$11</definedName>
    <definedName name="営業用・官公署用一段階超過料金">マスタ!$L$11</definedName>
    <definedName name="営業用・官公署用基本水量">マスタ!$G$11</definedName>
    <definedName name="営業用・官公署用基本料金">マスタ!$H$11</definedName>
    <definedName name="営業用・官公署用三段階始">マスタ!$I$13</definedName>
    <definedName name="営業用・官公署用三段階終">マスタ!$K$13</definedName>
    <definedName name="営業用・官公署用三段階超過料金">マスタ!$L$13</definedName>
    <definedName name="営業用・官公署用二段階始">マスタ!$I$12</definedName>
    <definedName name="営業用・官公署用二段階終">マスタ!$K$12</definedName>
    <definedName name="営業用・官公署用二段階超過料金">マスタ!$L$12</definedName>
    <definedName name="下水道接続">水道料金計算表!$C$15</definedName>
    <definedName name="家事用一段階始">マスタ!$I$5</definedName>
    <definedName name="家事用一段階終">マスタ!$K$5</definedName>
    <definedName name="家事用一段階超過料金">マスタ!$L$5</definedName>
    <definedName name="家事用基本水量">マスタ!$G$5</definedName>
    <definedName name="家事用基本料金">マスタ!$H$5</definedName>
    <definedName name="家事用五段階始">マスタ!$I$9</definedName>
    <definedName name="家事用五段階終">マスタ!$K$9</definedName>
    <definedName name="家事用五段階超過料金">マスタ!$L$9</definedName>
    <definedName name="家事用三段階始">マスタ!$I$7</definedName>
    <definedName name="家事用三段階終">マスタ!$K$7</definedName>
    <definedName name="家事用三段階超過料金">マスタ!$L$7</definedName>
    <definedName name="家事用四段階始">マスタ!$I$8</definedName>
    <definedName name="家事用四段階終">マスタ!$K$8</definedName>
    <definedName name="家事用四段階超過料金">マスタ!$L$8</definedName>
    <definedName name="家事用二段階始">マスタ!$I$6</definedName>
    <definedName name="家事用二段階終">マスタ!$K$6</definedName>
    <definedName name="家事用二段階超過料金">マスタ!$L$6</definedName>
    <definedName name="家事用六段階始">マスタ!$I$10</definedName>
    <definedName name="家事用六段階終">マスタ!$K$10</definedName>
    <definedName name="家事用六段階超過料金">マスタ!$L$10</definedName>
    <definedName name="九段階始下">水道料金計算表!$N$30</definedName>
    <definedName name="九段階終下">水道料金計算表!$P$30</definedName>
    <definedName name="戸数">集合用途料金計算表!$D$6</definedName>
    <definedName name="五段階始">水道料金計算表!$N$13</definedName>
    <definedName name="五段階始下">水道料金計算表!$N$26</definedName>
    <definedName name="五段階終">水道料金計算表!$P$13</definedName>
    <definedName name="五段階終下">水道料金計算表!$P$26</definedName>
    <definedName name="工場用一段階始">マスタ!$I$14</definedName>
    <definedName name="工場用一段階終">マスタ!$K$14</definedName>
    <definedName name="工場用一段階超過料金">マスタ!$L$14</definedName>
    <definedName name="工場用基本水量">マスタ!$G$14</definedName>
    <definedName name="工場用基本料金">マスタ!$H$14</definedName>
    <definedName name="工場用五段階始">マスタ!$I$18</definedName>
    <definedName name="工場用五段階終">マスタ!$K$18</definedName>
    <definedName name="工場用五段階超過料金">マスタ!$L$18</definedName>
    <definedName name="工場用三段階始">マスタ!$I$16</definedName>
    <definedName name="工場用三段階終">マスタ!$K$16</definedName>
    <definedName name="工場用三段階超過料金">マスタ!$L$16</definedName>
    <definedName name="工場用四段階始">マスタ!$I$17</definedName>
    <definedName name="工場用四段階終">マスタ!$K$17</definedName>
    <definedName name="工場用四段階超過料金">マスタ!$L$17</definedName>
    <definedName name="工場用二段階始">マスタ!$I$15</definedName>
    <definedName name="工場用二段階終">マスタ!$K$15</definedName>
    <definedName name="工場用二段階超過料金">マスタ!$L$15</definedName>
    <definedName name="三段階始">水道料金計算表!$N$11</definedName>
    <definedName name="三段階始下">水道料金計算表!$N$24</definedName>
    <definedName name="三段階終">水道料金計算表!$P$11</definedName>
    <definedName name="三段階終下">水道料金計算表!$P$24</definedName>
    <definedName name="使用月数">水道料金計算表!$C$9</definedName>
    <definedName name="使用水量">水道料金計算表!$C$11</definedName>
    <definedName name="四段階始">水道料金計算表!$N$12</definedName>
    <definedName name="四段階始下">水道料金計算表!$N$25</definedName>
    <definedName name="四段階終">水道料金計算表!$P$12</definedName>
    <definedName name="四段階終下">水道料金計算表!$P$25</definedName>
    <definedName name="七段階始">水道料金計算表!#REF!</definedName>
    <definedName name="七段階始下">水道料金計算表!$N$28</definedName>
    <definedName name="七段階終">水道料金計算表!#REF!</definedName>
    <definedName name="七段階終下">水道料金計算表!$P$28</definedName>
    <definedName name="集合用途">集合用途料金計算表!$I$1</definedName>
    <definedName name="集合用途一段階始">集合用途料金計算表!$J$14</definedName>
    <definedName name="集合用途一段階終">集合用途料金計算表!$L$14</definedName>
    <definedName name="集合用途割数">集合用途料金計算表!$I$2</definedName>
    <definedName name="集合用途五段階始">集合用途料金計算表!$J$18</definedName>
    <definedName name="集合用途五段階終">集合用途料金計算表!$L$18</definedName>
    <definedName name="集合用途三段階始">集合用途料金計算表!$J$16</definedName>
    <definedName name="集合用途三段階終">集合用途料金計算表!$L$16</definedName>
    <definedName name="集合用途四段階始">集合用途料金計算表!$J$17</definedName>
    <definedName name="集合用途四段階終">集合用途料金計算表!$L$17</definedName>
    <definedName name="集合用途端数">集合用途料金計算表!$I$3</definedName>
    <definedName name="集合用途二段階始">集合用途料金計算表!$J$15</definedName>
    <definedName name="集合用途二段階終">集合用途料金計算表!$L$15</definedName>
    <definedName name="集合用途六段階始">集合用途料金計算表!$J$19</definedName>
    <definedName name="集合用途六段階終">集合用途料金計算表!$L$19</definedName>
    <definedName name="消費税率">マスタ!$C$2</definedName>
    <definedName name="上水道接続">水道料金計算表!$C$13</definedName>
    <definedName name="親メーター使用水量">集合用途料金計算表!$D$8</definedName>
    <definedName name="二段階始">水道料金計算表!$N$10</definedName>
    <definedName name="二段階始下">水道料金計算表!$N$23</definedName>
    <definedName name="二段階終">水道料金計算表!$P$10</definedName>
    <definedName name="二段階終下">水道料金計算表!$P$23</definedName>
    <definedName name="八段階始">水道料金計算表!#REF!</definedName>
    <definedName name="八段階始下">水道料金計算表!$N$29</definedName>
    <definedName name="八段階終">水道料金計算表!#REF!</definedName>
    <definedName name="八段階終下">水道料金計算表!$P$29</definedName>
    <definedName name="用途">水道料金計算表!$C$7</definedName>
    <definedName name="浴場用一段階始">マスタ!$I$19</definedName>
    <definedName name="浴場用一段階終">マスタ!$K$19</definedName>
    <definedName name="浴場用一段階超過料金">マスタ!$L$19</definedName>
    <definedName name="浴場用基本水量">マスタ!$G$19</definedName>
    <definedName name="浴場用基本料金">マスタ!$H$19</definedName>
    <definedName name="臨時用一段階始">マスタ!$I$20</definedName>
    <definedName name="臨時用一段階終">マスタ!$K$20</definedName>
    <definedName name="臨時用一段階超過料金">マスタ!$L$20</definedName>
    <definedName name="臨時用基本水量">マスタ!$G$20</definedName>
    <definedName name="臨時用基本料金">マスタ!$H$20</definedName>
    <definedName name="六段階始">水道料金計算表!$N$14</definedName>
    <definedName name="六段階始下">水道料金計算表!$N$27</definedName>
    <definedName name="六段階終">水道料金計算表!$P$14</definedName>
    <definedName name="六段階終下">水道料金計算表!$P$27</definedName>
  </definedNames>
  <calcPr calcId="145621"/>
</workbook>
</file>

<file path=xl/calcChain.xml><?xml version="1.0" encoding="utf-8"?>
<calcChain xmlns="http://schemas.openxmlformats.org/spreadsheetml/2006/main">
  <c r="G25" i="1" l="1"/>
  <c r="G23" i="1"/>
  <c r="G21" i="1"/>
  <c r="G12" i="1"/>
  <c r="G11" i="1"/>
  <c r="G10" i="1"/>
  <c r="G8" i="1"/>
  <c r="M26" i="4" l="1"/>
  <c r="M27" i="4"/>
  <c r="M28" i="4"/>
  <c r="M29" i="4"/>
  <c r="M30" i="4"/>
  <c r="M31" i="4"/>
  <c r="M32" i="4"/>
  <c r="M33" i="4"/>
  <c r="M25" i="4"/>
  <c r="Q22" i="1"/>
  <c r="J33" i="4"/>
  <c r="J32" i="4"/>
  <c r="J31" i="4"/>
  <c r="J30" i="4"/>
  <c r="J29" i="4"/>
  <c r="J28" i="4"/>
  <c r="J27" i="4"/>
  <c r="J26" i="4"/>
  <c r="J25" i="4"/>
  <c r="K32" i="4"/>
  <c r="K29" i="4"/>
  <c r="K28" i="4"/>
  <c r="K26" i="4"/>
  <c r="K30" i="4"/>
  <c r="K25" i="4"/>
  <c r="K31" i="4"/>
  <c r="K27" i="4"/>
  <c r="K33" i="4"/>
  <c r="D20" i="4" l="1"/>
  <c r="D19" i="4"/>
  <c r="D18" i="4"/>
  <c r="D16" i="4" l="1"/>
  <c r="D15" i="4"/>
  <c r="D14" i="4"/>
  <c r="I2" i="4"/>
  <c r="C10" i="4"/>
  <c r="I3" i="4" l="1"/>
  <c r="I1" i="4"/>
  <c r="K17" i="4"/>
  <c r="K14" i="4"/>
  <c r="K19" i="4"/>
  <c r="M15" i="4"/>
  <c r="L9" i="4"/>
  <c r="L18" i="4"/>
  <c r="J16" i="4"/>
  <c r="L15" i="4"/>
  <c r="K16" i="4"/>
  <c r="J15" i="4"/>
  <c r="K18" i="4"/>
  <c r="K15" i="4"/>
  <c r="L17" i="4"/>
  <c r="J18" i="4"/>
  <c r="O15" i="4" l="1"/>
  <c r="L16" i="4"/>
  <c r="N18" i="4"/>
  <c r="N9" i="4"/>
  <c r="M18" i="4"/>
  <c r="J19" i="4"/>
  <c r="M17" i="4"/>
  <c r="J14" i="4"/>
  <c r="M14" i="4"/>
  <c r="L14" i="4"/>
  <c r="L19" i="4"/>
  <c r="J17" i="4"/>
  <c r="N15" i="4"/>
  <c r="M19" i="4"/>
  <c r="M16" i="4"/>
  <c r="O14" i="4" l="1"/>
  <c r="O16" i="4"/>
  <c r="O18" i="4"/>
  <c r="P18" i="4" s="1"/>
  <c r="O17" i="4"/>
  <c r="P15" i="4"/>
  <c r="N19" i="4"/>
  <c r="N16" i="4"/>
  <c r="N17" i="4"/>
  <c r="N14" i="4"/>
  <c r="P17" i="4" l="1"/>
  <c r="P14" i="4"/>
  <c r="P19" i="4"/>
  <c r="P16" i="4"/>
  <c r="P30" i="1"/>
  <c r="L33" i="4" s="1"/>
  <c r="H20" i="1"/>
  <c r="G24" i="1"/>
  <c r="Q23" i="1"/>
  <c r="Q24" i="1"/>
  <c r="Q25" i="1"/>
  <c r="Q26" i="1"/>
  <c r="Q27" i="1"/>
  <c r="Q28" i="1"/>
  <c r="Q29" i="1"/>
  <c r="Q30" i="1"/>
  <c r="N21" i="1"/>
  <c r="P29" i="1"/>
  <c r="L32" i="4" s="1"/>
  <c r="O32" i="4" s="1"/>
  <c r="P28" i="1"/>
  <c r="L31" i="4" s="1"/>
  <c r="O31" i="4" s="1"/>
  <c r="P27" i="1"/>
  <c r="L30" i="4" s="1"/>
  <c r="O30" i="4" s="1"/>
  <c r="P26" i="1"/>
  <c r="L29" i="4" s="1"/>
  <c r="O29" i="4" s="1"/>
  <c r="P25" i="1"/>
  <c r="L28" i="4" s="1"/>
  <c r="O28" i="4" s="1"/>
  <c r="P24" i="1"/>
  <c r="L27" i="4" s="1"/>
  <c r="O27" i="4" s="1"/>
  <c r="P23" i="1"/>
  <c r="L26" i="4" s="1"/>
  <c r="O26" i="4" s="1"/>
  <c r="P22" i="1"/>
  <c r="L25" i="4" s="1"/>
  <c r="O25" i="4" s="1"/>
  <c r="N30" i="1"/>
  <c r="N29" i="1"/>
  <c r="N28" i="1"/>
  <c r="N27" i="1"/>
  <c r="N26" i="1"/>
  <c r="N25" i="1"/>
  <c r="N24" i="1"/>
  <c r="N23" i="1"/>
  <c r="N22" i="1"/>
  <c r="F14" i="4"/>
  <c r="H7" i="1"/>
  <c r="P14" i="1"/>
  <c r="N8" i="1"/>
  <c r="F16" i="4"/>
  <c r="O13" i="1"/>
  <c r="M9" i="4" l="1"/>
  <c r="G14" i="4"/>
  <c r="G16" i="4" s="1"/>
  <c r="F15" i="4"/>
  <c r="R25" i="1"/>
  <c r="N28" i="4"/>
  <c r="P28" i="4" s="1"/>
  <c r="R29" i="1"/>
  <c r="N32" i="4"/>
  <c r="P32" i="4" s="1"/>
  <c r="R22" i="1"/>
  <c r="N25" i="4"/>
  <c r="R26" i="1"/>
  <c r="N29" i="4"/>
  <c r="P29" i="4" s="1"/>
  <c r="R30" i="1"/>
  <c r="N33" i="4"/>
  <c r="P33" i="4" s="1"/>
  <c r="R23" i="1"/>
  <c r="N26" i="4"/>
  <c r="P26" i="4" s="1"/>
  <c r="R27" i="1"/>
  <c r="N30" i="4"/>
  <c r="P30" i="4" s="1"/>
  <c r="R24" i="1"/>
  <c r="N27" i="4"/>
  <c r="P27" i="4" s="1"/>
  <c r="R28" i="1"/>
  <c r="N31" i="4"/>
  <c r="P31" i="4" s="1"/>
  <c r="P13" i="1"/>
  <c r="P9" i="1"/>
  <c r="N13" i="1"/>
  <c r="P12" i="1"/>
  <c r="Q13" i="1"/>
  <c r="P10" i="1"/>
  <c r="O11" i="1"/>
  <c r="N9" i="1"/>
  <c r="O10" i="1"/>
  <c r="Q10" i="1"/>
  <c r="N10" i="1"/>
  <c r="Q12" i="1"/>
  <c r="Q14" i="1"/>
  <c r="Q11" i="1"/>
  <c r="N11" i="1"/>
  <c r="Q9" i="1"/>
  <c r="O12" i="1"/>
  <c r="N12" i="1"/>
  <c r="P11" i="1"/>
  <c r="N14" i="1"/>
  <c r="O9" i="1"/>
  <c r="O14" i="1"/>
  <c r="H22" i="1" l="1"/>
  <c r="H24" i="1" s="1"/>
  <c r="H26" i="1" s="1"/>
  <c r="F18" i="4"/>
  <c r="P25" i="4"/>
  <c r="R11" i="1"/>
  <c r="R14" i="1"/>
  <c r="F20" i="4"/>
  <c r="R10" i="1"/>
  <c r="R13" i="1"/>
  <c r="R9" i="1"/>
  <c r="R12" i="1"/>
  <c r="H9" i="1" l="1"/>
  <c r="H11" i="1" s="1"/>
  <c r="H13" i="1" s="1"/>
  <c r="B34" i="1" s="1"/>
  <c r="G18" i="4"/>
  <c r="G20" i="4" s="1"/>
  <c r="G21" i="4" s="1"/>
  <c r="F19" i="4"/>
</calcChain>
</file>

<file path=xl/comments1.xml><?xml version="1.0" encoding="utf-8"?>
<comments xmlns="http://schemas.openxmlformats.org/spreadsheetml/2006/main">
  <authors>
    <author>作成者</author>
  </authors>
  <commentList>
    <comment ref="D6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</t>
        </r>
      </text>
    </comment>
    <comment ref="D8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</t>
        </r>
      </text>
    </comment>
  </commentList>
</comments>
</file>

<file path=xl/sharedStrings.xml><?xml version="1.0" encoding="utf-8"?>
<sst xmlns="http://schemas.openxmlformats.org/spreadsheetml/2006/main" count="120" uniqueCount="63">
  <si>
    <t>用途</t>
    <rPh sb="0" eb="2">
      <t>ヨウト</t>
    </rPh>
    <phoneticPr fontId="3"/>
  </si>
  <si>
    <t>使用月数</t>
    <rPh sb="0" eb="2">
      <t>シヨウ</t>
    </rPh>
    <rPh sb="2" eb="4">
      <t>ツキスウ</t>
    </rPh>
    <phoneticPr fontId="3"/>
  </si>
  <si>
    <t>ヶ月</t>
    <rPh sb="1" eb="2">
      <t>ゲツ</t>
    </rPh>
    <phoneticPr fontId="3"/>
  </si>
  <si>
    <t>使用水量</t>
    <rPh sb="0" eb="4">
      <t>シヨウスイリョウ</t>
    </rPh>
    <phoneticPr fontId="3"/>
  </si>
  <si>
    <t>㎥</t>
    <phoneticPr fontId="3"/>
  </si>
  <si>
    <t>下水道接続</t>
    <rPh sb="0" eb="3">
      <t>ゲスイドウ</t>
    </rPh>
    <rPh sb="3" eb="5">
      <t>セツゾク</t>
    </rPh>
    <phoneticPr fontId="3"/>
  </si>
  <si>
    <t>上水道接続</t>
    <rPh sb="0" eb="3">
      <t>ジョウスイドウ</t>
    </rPh>
    <rPh sb="3" eb="5">
      <t>セツゾク</t>
    </rPh>
    <phoneticPr fontId="3"/>
  </si>
  <si>
    <t>あり</t>
  </si>
  <si>
    <t>超過料金</t>
    <rPh sb="0" eb="4">
      <t>チョウカリョウキン</t>
    </rPh>
    <phoneticPr fontId="3"/>
  </si>
  <si>
    <t>金額</t>
    <rPh sb="0" eb="2">
      <t>キンガク</t>
    </rPh>
    <phoneticPr fontId="3"/>
  </si>
  <si>
    <t>基本料金</t>
    <rPh sb="0" eb="4">
      <t>キホンリョウキン</t>
    </rPh>
    <phoneticPr fontId="3"/>
  </si>
  <si>
    <t>家事用</t>
    <rPh sb="0" eb="3">
      <t>カジヨウ</t>
    </rPh>
    <phoneticPr fontId="3"/>
  </si>
  <si>
    <t>工場用</t>
    <rPh sb="0" eb="3">
      <t>コウジョウヨウ</t>
    </rPh>
    <phoneticPr fontId="3"/>
  </si>
  <si>
    <t>浴場用</t>
    <rPh sb="0" eb="3">
      <t>ヨクジョウヨウ</t>
    </rPh>
    <phoneticPr fontId="3"/>
  </si>
  <si>
    <t>～</t>
    <phoneticPr fontId="3"/>
  </si>
  <si>
    <t>～</t>
    <phoneticPr fontId="3"/>
  </si>
  <si>
    <t>営業用・官公署用</t>
    <rPh sb="0" eb="3">
      <t>エイギョウヨウ</t>
    </rPh>
    <rPh sb="4" eb="7">
      <t>カンコウショ</t>
    </rPh>
    <rPh sb="7" eb="8">
      <t>ヨウ</t>
    </rPh>
    <phoneticPr fontId="3"/>
  </si>
  <si>
    <t>～</t>
    <phoneticPr fontId="3"/>
  </si>
  <si>
    <t>水量（㎥）</t>
    <rPh sb="0" eb="2">
      <t>スイリョウ</t>
    </rPh>
    <phoneticPr fontId="3"/>
  </si>
  <si>
    <t>料金（円）</t>
    <rPh sb="0" eb="2">
      <t>リョウキン</t>
    </rPh>
    <rPh sb="3" eb="4">
      <t>エン</t>
    </rPh>
    <phoneticPr fontId="3"/>
  </si>
  <si>
    <t>臨時用</t>
    <rPh sb="0" eb="3">
      <t>リンジヨウ</t>
    </rPh>
    <phoneticPr fontId="3"/>
  </si>
  <si>
    <t>%</t>
    <phoneticPr fontId="3"/>
  </si>
  <si>
    <t>消費税率</t>
    <rPh sb="0" eb="3">
      <t>ショウヒゼイ</t>
    </rPh>
    <rPh sb="3" eb="4">
      <t>リツ</t>
    </rPh>
    <phoneticPr fontId="3"/>
  </si>
  <si>
    <t>税込み合計(A+B+C)</t>
    <rPh sb="0" eb="2">
      <t>ゼイコ</t>
    </rPh>
    <rPh sb="3" eb="5">
      <t>ゴウケイ</t>
    </rPh>
    <phoneticPr fontId="3"/>
  </si>
  <si>
    <t>基本料金(A)</t>
    <rPh sb="0" eb="4">
      <t>キホンリョウキン</t>
    </rPh>
    <phoneticPr fontId="3"/>
  </si>
  <si>
    <t>超過料金(B)</t>
    <rPh sb="0" eb="4">
      <t>チョウカリョウキン</t>
    </rPh>
    <phoneticPr fontId="3"/>
  </si>
  <si>
    <t>種別</t>
    <rPh sb="0" eb="2">
      <t>シュベツ</t>
    </rPh>
    <phoneticPr fontId="3"/>
  </si>
  <si>
    <t>水道料金計算表保守用マスタ（上水）</t>
    <rPh sb="0" eb="4">
      <t>スイドウリョウキン</t>
    </rPh>
    <rPh sb="4" eb="6">
      <t>ケイサン</t>
    </rPh>
    <rPh sb="6" eb="7">
      <t>ヒョウ</t>
    </rPh>
    <rPh sb="7" eb="10">
      <t>ホシュヨウ</t>
    </rPh>
    <rPh sb="14" eb="16">
      <t>ジョウスイ</t>
    </rPh>
    <phoneticPr fontId="3"/>
  </si>
  <si>
    <t>一般汚水</t>
    <rPh sb="0" eb="4">
      <t>イッパンオスイ</t>
    </rPh>
    <phoneticPr fontId="3"/>
  </si>
  <si>
    <t>公衆浴場汚水</t>
    <rPh sb="0" eb="4">
      <t>コウシュウヨクジョウ</t>
    </rPh>
    <rPh sb="4" eb="6">
      <t>オスイ</t>
    </rPh>
    <phoneticPr fontId="3"/>
  </si>
  <si>
    <t>D</t>
    <phoneticPr fontId="3"/>
  </si>
  <si>
    <t>基本料金(E)</t>
    <rPh sb="0" eb="4">
      <t>キホンリョウキン</t>
    </rPh>
    <phoneticPr fontId="3"/>
  </si>
  <si>
    <t>超過料金(F)</t>
    <rPh sb="0" eb="4">
      <t>チョウカリョウキン</t>
    </rPh>
    <phoneticPr fontId="3"/>
  </si>
  <si>
    <t>税込み合計(E+F+G)</t>
    <rPh sb="0" eb="2">
      <t>ゼイコ</t>
    </rPh>
    <rPh sb="3" eb="5">
      <t>ゴウケイ</t>
    </rPh>
    <phoneticPr fontId="3"/>
  </si>
  <si>
    <t>H</t>
    <phoneticPr fontId="3"/>
  </si>
  <si>
    <t>住宅戸数</t>
    <rPh sb="0" eb="2">
      <t>ジュウタク</t>
    </rPh>
    <rPh sb="2" eb="4">
      <t>コスウ</t>
    </rPh>
    <phoneticPr fontId="8"/>
  </si>
  <si>
    <t>親メーター使用水量（㎥）</t>
    <rPh sb="0" eb="1">
      <t>オヤ</t>
    </rPh>
    <rPh sb="5" eb="7">
      <t>シヨウ</t>
    </rPh>
    <rPh sb="7" eb="9">
      <t>スイリョウ</t>
    </rPh>
    <phoneticPr fontId="8"/>
  </si>
  <si>
    <t>上水道</t>
    <rPh sb="0" eb="3">
      <t>ジョウスイドウ</t>
    </rPh>
    <phoneticPr fontId="8"/>
  </si>
  <si>
    <t xml:space="preserve">       水量の計算</t>
    <rPh sb="7" eb="9">
      <t>スイリョウ</t>
    </rPh>
    <rPh sb="10" eb="12">
      <t>ケイサン</t>
    </rPh>
    <phoneticPr fontId="8"/>
  </si>
  <si>
    <t>料金の計算</t>
    <rPh sb="0" eb="2">
      <t>リョウキン</t>
    </rPh>
    <rPh sb="3" eb="5">
      <t>ケイサン</t>
    </rPh>
    <phoneticPr fontId="8"/>
  </si>
  <si>
    <t>消費税</t>
    <rPh sb="0" eb="3">
      <t>ショウヒゼイ</t>
    </rPh>
    <phoneticPr fontId="8"/>
  </si>
  <si>
    <t>消費税込みの料金</t>
    <rPh sb="0" eb="3">
      <t>ショウヒゼイ</t>
    </rPh>
    <rPh sb="3" eb="4">
      <t>コ</t>
    </rPh>
    <rPh sb="6" eb="8">
      <t>リョウキン</t>
    </rPh>
    <phoneticPr fontId="8"/>
  </si>
  <si>
    <t>下水道</t>
    <rPh sb="0" eb="3">
      <t>ゲスイドウ</t>
    </rPh>
    <phoneticPr fontId="8"/>
  </si>
  <si>
    <t>消費税</t>
    <phoneticPr fontId="3"/>
  </si>
  <si>
    <t>合計</t>
    <rPh sb="0" eb="2">
      <t>ゴウケイ</t>
    </rPh>
    <phoneticPr fontId="8"/>
  </si>
  <si>
    <t>集合用途の上下水道の料金計算表</t>
    <rPh sb="0" eb="2">
      <t>シュウゴウ</t>
    </rPh>
    <rPh sb="2" eb="4">
      <t>ヨウト</t>
    </rPh>
    <rPh sb="5" eb="7">
      <t>ジョウゲ</t>
    </rPh>
    <rPh sb="7" eb="9">
      <t>スイドウ</t>
    </rPh>
    <rPh sb="10" eb="12">
      <t>リョウキン</t>
    </rPh>
    <rPh sb="12" eb="14">
      <t>ケイサン</t>
    </rPh>
    <rPh sb="14" eb="15">
      <t>ヒョウ</t>
    </rPh>
    <phoneticPr fontId="7"/>
  </si>
  <si>
    <t>集合用途</t>
    <rPh sb="0" eb="2">
      <t>シュウゴウ</t>
    </rPh>
    <rPh sb="2" eb="4">
      <t>ヨウト</t>
    </rPh>
    <phoneticPr fontId="7"/>
  </si>
  <si>
    <t>戸</t>
    <rPh sb="0" eb="1">
      <t>コ</t>
    </rPh>
    <phoneticPr fontId="3"/>
  </si>
  <si>
    <t>㎥</t>
    <phoneticPr fontId="3"/>
  </si>
  <si>
    <t>ランク始</t>
    <rPh sb="3" eb="4">
      <t>ハジ</t>
    </rPh>
    <phoneticPr fontId="3"/>
  </si>
  <si>
    <t>～</t>
    <phoneticPr fontId="3"/>
  </si>
  <si>
    <t>ランク終</t>
    <rPh sb="3" eb="4">
      <t>オ</t>
    </rPh>
    <phoneticPr fontId="3"/>
  </si>
  <si>
    <t>単価</t>
    <rPh sb="0" eb="2">
      <t>タンカ</t>
    </rPh>
    <phoneticPr fontId="3"/>
  </si>
  <si>
    <t>累積</t>
    <rPh sb="0" eb="2">
      <t>ルイセキ</t>
    </rPh>
    <phoneticPr fontId="3"/>
  </si>
  <si>
    <t>作業列1</t>
    <rPh sb="0" eb="3">
      <t>サギョウレツ</t>
    </rPh>
    <phoneticPr fontId="3"/>
  </si>
  <si>
    <t>作業列2</t>
    <rPh sb="0" eb="3">
      <t>サギョウレツ</t>
    </rPh>
    <phoneticPr fontId="3"/>
  </si>
  <si>
    <t>集合家事用（アパート、マンション等）</t>
  </si>
  <si>
    <t>大山崎町上下水道料金計算表</t>
    <rPh sb="0" eb="4">
      <t>オオヤマザキチョウ</t>
    </rPh>
    <rPh sb="4" eb="6">
      <t>ジョウゲ</t>
    </rPh>
    <rPh sb="6" eb="8">
      <t>スイドウ</t>
    </rPh>
    <rPh sb="8" eb="10">
      <t>リョウキン</t>
    </rPh>
    <phoneticPr fontId="3"/>
  </si>
  <si>
    <t>内</t>
    <rPh sb="0" eb="1">
      <t>ウチ</t>
    </rPh>
    <phoneticPr fontId="3"/>
  </si>
  <si>
    <t>訳</t>
    <phoneticPr fontId="3"/>
  </si>
  <si>
    <t>内</t>
    <phoneticPr fontId="3"/>
  </si>
  <si>
    <t>営業用・官公署用</t>
  </si>
  <si>
    <t>なし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</si>
</sst>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¥&quot;#,##0;[Red]&quot;¥&quot;\-#,##0"/>
    <numFmt numFmtId="176" formatCode="#,##0_ "/>
    <numFmt numFmtId="177" formatCode=";;;"/>
    <numFmt numFmtId="178" formatCode="0_ "/>
    <numFmt numFmtId="179" formatCode="#,###&quot;円&quot;"/>
    <numFmt numFmtId="180" formatCode="###,###&quot;円&quot;\(&quot;税&quot;&quot;抜&quot;&quot;き&quot;\)"/>
    <numFmt numFmtId="181" formatCode="#,###&quot;円&quot;\(&quot;税&quot;&quot;抜&quot;&quot;き&quot;\)"/>
  </numFmts>
  <fonts count="2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4"/>
      <color theme="1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2"/>
      <scheme val="minor"/>
    </font>
    <font>
      <b/>
      <u/>
      <sz val="18"/>
      <color theme="1"/>
      <name val="ＭＳ Ｐゴシック"/>
      <family val="3"/>
      <charset val="128"/>
      <scheme val="minor"/>
    </font>
    <font>
      <b/>
      <u/>
      <sz val="1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1">
    <xf numFmtId="0" fontId="0" fillId="0" borderId="0"/>
    <xf numFmtId="0" fontId="2" fillId="0" borderId="0">
      <alignment vertical="center"/>
    </xf>
    <xf numFmtId="0" fontId="6" fillId="0" borderId="0">
      <alignment vertical="center"/>
    </xf>
    <xf numFmtId="0" fontId="2" fillId="3" borderId="17" applyNumberFormat="0" applyFont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0" fontId="6" fillId="0" borderId="0"/>
    <xf numFmtId="0" fontId="6" fillId="0" borderId="0">
      <alignment vertical="center"/>
    </xf>
    <xf numFmtId="0" fontId="6" fillId="0" borderId="0"/>
    <xf numFmtId="0" fontId="2" fillId="0" borderId="0">
      <alignment vertical="center"/>
    </xf>
  </cellStyleXfs>
  <cellXfs count="13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Fill="1"/>
    <xf numFmtId="0" fontId="0" fillId="2" borderId="1" xfId="0" applyFill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/>
    <xf numFmtId="0" fontId="0" fillId="0" borderId="0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14" xfId="0" applyBorder="1"/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horizontal="center" vertical="center"/>
    </xf>
    <xf numFmtId="176" fontId="0" fillId="0" borderId="0" xfId="0" applyNumberFormat="1" applyAlignment="1">
      <alignment vertical="center"/>
    </xf>
    <xf numFmtId="177" fontId="2" fillId="0" borderId="0" xfId="1" applyNumberFormat="1">
      <alignment vertical="center"/>
    </xf>
    <xf numFmtId="0" fontId="2" fillId="0" borderId="0" xfId="1">
      <alignment vertical="center"/>
    </xf>
    <xf numFmtId="0" fontId="2" fillId="0" borderId="0" xfId="1" applyFont="1">
      <alignment vertical="center"/>
    </xf>
    <xf numFmtId="0" fontId="2" fillId="0" borderId="0" xfId="1" applyAlignment="1">
      <alignment vertical="center"/>
    </xf>
    <xf numFmtId="0" fontId="1" fillId="0" borderId="0" xfId="1" applyFont="1">
      <alignment vertical="center"/>
    </xf>
    <xf numFmtId="0" fontId="0" fillId="5" borderId="37" xfId="0" applyFont="1" applyFill="1" applyBorder="1" applyAlignment="1">
      <alignment vertical="center"/>
    </xf>
    <xf numFmtId="0" fontId="2" fillId="0" borderId="0" xfId="1" applyAlignment="1">
      <alignment horizontal="center" vertical="center"/>
    </xf>
    <xf numFmtId="0" fontId="14" fillId="4" borderId="38" xfId="1" applyNumberFormat="1" applyFont="1" applyFill="1" applyBorder="1" applyAlignment="1">
      <alignment vertical="center"/>
    </xf>
    <xf numFmtId="0" fontId="14" fillId="4" borderId="39" xfId="1" applyNumberFormat="1" applyFont="1" applyFill="1" applyBorder="1" applyAlignment="1">
      <alignment vertical="center"/>
    </xf>
    <xf numFmtId="0" fontId="14" fillId="4" borderId="40" xfId="1" applyNumberFormat="1" applyFont="1" applyFill="1" applyBorder="1" applyAlignment="1">
      <alignment vertical="center"/>
    </xf>
    <xf numFmtId="0" fontId="0" fillId="6" borderId="0" xfId="0" applyFill="1"/>
    <xf numFmtId="0" fontId="18" fillId="6" borderId="0" xfId="0" applyFont="1" applyFill="1" applyAlignment="1">
      <alignment horizontal="center"/>
    </xf>
    <xf numFmtId="0" fontId="0" fillId="6" borderId="0" xfId="0" applyFill="1" applyAlignment="1">
      <alignment horizontal="right"/>
    </xf>
    <xf numFmtId="176" fontId="0" fillId="6" borderId="12" xfId="0" applyNumberFormat="1" applyFill="1" applyBorder="1"/>
    <xf numFmtId="0" fontId="0" fillId="6" borderId="42" xfId="0" applyFill="1" applyBorder="1"/>
    <xf numFmtId="0" fontId="0" fillId="6" borderId="12" xfId="0" applyFill="1" applyBorder="1"/>
    <xf numFmtId="0" fontId="0" fillId="6" borderId="13" xfId="0" applyFill="1" applyBorder="1"/>
    <xf numFmtId="0" fontId="0" fillId="6" borderId="16" xfId="0" applyFill="1" applyBorder="1"/>
    <xf numFmtId="176" fontId="0" fillId="6" borderId="0" xfId="0" applyNumberFormat="1" applyFill="1"/>
    <xf numFmtId="0" fontId="0" fillId="6" borderId="41" xfId="0" applyFill="1" applyBorder="1" applyAlignment="1">
      <alignment vertical="center"/>
    </xf>
    <xf numFmtId="0" fontId="0" fillId="6" borderId="0" xfId="0" applyFill="1" applyAlignment="1">
      <alignment horizontal="centerContinuous" vertical="center"/>
    </xf>
    <xf numFmtId="0" fontId="0" fillId="6" borderId="10" xfId="0" applyFill="1" applyBorder="1" applyAlignment="1">
      <alignment horizontal="centerContinuous"/>
    </xf>
    <xf numFmtId="0" fontId="0" fillId="6" borderId="15" xfId="0" applyNumberFormat="1" applyFill="1" applyBorder="1"/>
    <xf numFmtId="0" fontId="0" fillId="6" borderId="0" xfId="0" applyNumberFormat="1" applyFill="1"/>
    <xf numFmtId="0" fontId="0" fillId="6" borderId="0" xfId="0" applyFill="1" applyAlignment="1">
      <alignment vertical="center"/>
    </xf>
    <xf numFmtId="176" fontId="0" fillId="6" borderId="10" xfId="0" applyNumberFormat="1" applyFill="1" applyBorder="1" applyAlignment="1">
      <alignment horizontal="left"/>
    </xf>
    <xf numFmtId="176" fontId="0" fillId="6" borderId="15" xfId="0" applyNumberFormat="1" applyFill="1" applyBorder="1"/>
    <xf numFmtId="176" fontId="0" fillId="6" borderId="0" xfId="0" applyNumberFormat="1" applyFill="1" applyAlignment="1">
      <alignment vertical="center"/>
    </xf>
    <xf numFmtId="0" fontId="16" fillId="6" borderId="0" xfId="0" applyFont="1" applyFill="1" applyAlignment="1">
      <alignment vertical="center"/>
    </xf>
    <xf numFmtId="0" fontId="4" fillId="6" borderId="0" xfId="0" applyFont="1" applyFill="1" applyAlignment="1">
      <alignment horizontal="center"/>
    </xf>
    <xf numFmtId="0" fontId="0" fillId="6" borderId="43" xfId="0" applyFill="1" applyBorder="1" applyAlignment="1">
      <alignment vertical="center"/>
    </xf>
    <xf numFmtId="176" fontId="0" fillId="6" borderId="10" xfId="0" applyNumberFormat="1" applyFill="1" applyBorder="1"/>
    <xf numFmtId="0" fontId="0" fillId="6" borderId="41" xfId="0" applyFill="1" applyBorder="1"/>
    <xf numFmtId="0" fontId="0" fillId="6" borderId="10" xfId="0" applyFill="1" applyBorder="1"/>
    <xf numFmtId="0" fontId="0" fillId="6" borderId="15" xfId="0" applyFill="1" applyBorder="1"/>
    <xf numFmtId="0" fontId="17" fillId="6" borderId="0" xfId="0" applyFont="1" applyFill="1" applyAlignment="1">
      <alignment horizontal="center"/>
    </xf>
    <xf numFmtId="0" fontId="0" fillId="6" borderId="43" xfId="0" applyFill="1" applyBorder="1"/>
    <xf numFmtId="0" fontId="5" fillId="6" borderId="0" xfId="0" applyFont="1" applyFill="1" applyAlignment="1">
      <alignment vertical="center"/>
    </xf>
    <xf numFmtId="0" fontId="19" fillId="6" borderId="0" xfId="0" applyFont="1" applyFill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1" xfId="1" applyNumberFormat="1" applyFill="1" applyBorder="1" applyProtection="1">
      <alignment vertical="center"/>
      <protection locked="0"/>
    </xf>
    <xf numFmtId="178" fontId="2" fillId="2" borderId="1" xfId="1" applyNumberFormat="1" applyFill="1" applyBorder="1" applyProtection="1">
      <alignment vertical="center"/>
      <protection locked="0"/>
    </xf>
    <xf numFmtId="0" fontId="0" fillId="7" borderId="0" xfId="0" applyFill="1"/>
    <xf numFmtId="0" fontId="2" fillId="7" borderId="0" xfId="1" applyFill="1">
      <alignment vertical="center"/>
    </xf>
    <xf numFmtId="177" fontId="2" fillId="7" borderId="0" xfId="1" applyNumberFormat="1" applyFill="1">
      <alignment vertical="center"/>
    </xf>
    <xf numFmtId="0" fontId="2" fillId="7" borderId="0" xfId="1" applyFill="1" applyProtection="1">
      <alignment vertical="center"/>
      <protection locked="0"/>
    </xf>
    <xf numFmtId="49" fontId="2" fillId="7" borderId="0" xfId="1" applyNumberFormat="1" applyFill="1">
      <alignment vertical="center"/>
    </xf>
    <xf numFmtId="0" fontId="2" fillId="7" borderId="0" xfId="1" applyFill="1" applyBorder="1">
      <alignment vertical="center"/>
    </xf>
    <xf numFmtId="0" fontId="9" fillId="7" borderId="0" xfId="1" applyFont="1" applyFill="1">
      <alignment vertical="center"/>
    </xf>
    <xf numFmtId="0" fontId="2" fillId="7" borderId="19" xfId="1" applyFill="1" applyBorder="1">
      <alignment vertical="center"/>
    </xf>
    <xf numFmtId="0" fontId="2" fillId="7" borderId="20" xfId="1" applyFill="1" applyBorder="1">
      <alignment vertical="center"/>
    </xf>
    <xf numFmtId="0" fontId="2" fillId="7" borderId="21" xfId="1" applyFill="1" applyBorder="1" applyAlignment="1">
      <alignment horizontal="center" vertical="center"/>
    </xf>
    <xf numFmtId="0" fontId="2" fillId="7" borderId="22" xfId="1" applyFont="1" applyFill="1" applyBorder="1" applyAlignment="1">
      <alignment horizontal="center" vertical="center"/>
    </xf>
    <xf numFmtId="0" fontId="2" fillId="7" borderId="0" xfId="1" applyFont="1" applyFill="1" applyBorder="1" applyAlignment="1">
      <alignment horizontal="center" vertical="center"/>
    </xf>
    <xf numFmtId="0" fontId="2" fillId="7" borderId="3" xfId="1" applyNumberFormat="1" applyFill="1" applyBorder="1" applyAlignment="1">
      <alignment horizontal="center" vertical="center" shrinkToFit="1"/>
    </xf>
    <xf numFmtId="179" fontId="2" fillId="7" borderId="25" xfId="1" applyNumberFormat="1" applyFill="1" applyBorder="1" applyAlignment="1">
      <alignment horizontal="center" vertical="center" shrinkToFit="1"/>
    </xf>
    <xf numFmtId="179" fontId="2" fillId="7" borderId="0" xfId="1" applyNumberFormat="1" applyFill="1" applyBorder="1" applyAlignment="1">
      <alignment horizontal="center" vertical="center" shrinkToFit="1"/>
    </xf>
    <xf numFmtId="0" fontId="2" fillId="7" borderId="0" xfId="1" applyFill="1" applyAlignment="1">
      <alignment horizontal="center" vertical="center"/>
    </xf>
    <xf numFmtId="0" fontId="2" fillId="7" borderId="25" xfId="1" applyFill="1" applyBorder="1">
      <alignment vertical="center"/>
    </xf>
    <xf numFmtId="180" fontId="2" fillId="7" borderId="29" xfId="1" applyNumberFormat="1" applyFont="1" applyFill="1" applyBorder="1" applyAlignment="1">
      <alignment horizontal="center" vertical="center" shrinkToFit="1"/>
    </xf>
    <xf numFmtId="179" fontId="2" fillId="7" borderId="30" xfId="1" applyNumberFormat="1" applyFill="1" applyBorder="1" applyAlignment="1">
      <alignment horizontal="center" vertical="center" shrinkToFit="1"/>
    </xf>
    <xf numFmtId="0" fontId="2" fillId="7" borderId="12" xfId="1" applyFill="1" applyBorder="1">
      <alignment vertical="center"/>
    </xf>
    <xf numFmtId="0" fontId="2" fillId="7" borderId="13" xfId="1" applyFill="1" applyBorder="1">
      <alignment vertical="center"/>
    </xf>
    <xf numFmtId="0" fontId="2" fillId="7" borderId="11" xfId="1" applyFill="1" applyBorder="1" applyAlignment="1">
      <alignment horizontal="center" vertical="center"/>
    </xf>
    <xf numFmtId="0" fontId="2" fillId="7" borderId="31" xfId="1" applyFont="1" applyFill="1" applyBorder="1" applyAlignment="1">
      <alignment horizontal="center" vertical="center"/>
    </xf>
    <xf numFmtId="0" fontId="2" fillId="7" borderId="3" xfId="1" applyNumberFormat="1" applyFill="1" applyBorder="1" applyAlignment="1">
      <alignment vertical="center" shrinkToFit="1"/>
    </xf>
    <xf numFmtId="181" fontId="2" fillId="7" borderId="6" xfId="1" applyNumberFormat="1" applyFont="1" applyFill="1" applyBorder="1" applyAlignment="1">
      <alignment horizontal="center" vertical="center" shrinkToFit="1"/>
    </xf>
    <xf numFmtId="179" fontId="2" fillId="7" borderId="32" xfId="1" applyNumberFormat="1" applyFill="1" applyBorder="1" applyAlignment="1">
      <alignment horizontal="center" vertical="center" shrinkToFit="1"/>
    </xf>
    <xf numFmtId="179" fontId="2" fillId="7" borderId="35" xfId="1" applyNumberFormat="1" applyFill="1" applyBorder="1" applyAlignment="1">
      <alignment horizontal="center" vertical="center"/>
    </xf>
    <xf numFmtId="179" fontId="2" fillId="7" borderId="0" xfId="1" applyNumberFormat="1" applyFill="1" applyBorder="1" applyAlignment="1">
      <alignment horizontal="center" vertical="center"/>
    </xf>
    <xf numFmtId="0" fontId="20" fillId="7" borderId="0" xfId="2" applyFont="1" applyFill="1">
      <alignment vertical="center"/>
    </xf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horizontal="center" vertic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0" fillId="7" borderId="33" xfId="1" applyFont="1" applyFill="1" applyBorder="1" applyAlignment="1">
      <alignment horizontal="center" vertical="center"/>
    </xf>
    <xf numFmtId="0" fontId="10" fillId="7" borderId="34" xfId="1" applyFont="1" applyFill="1" applyBorder="1" applyAlignment="1">
      <alignment horizontal="center" vertical="center"/>
    </xf>
    <xf numFmtId="0" fontId="2" fillId="7" borderId="27" xfId="1" applyNumberFormat="1" applyFill="1" applyBorder="1" applyAlignment="1">
      <alignment horizontal="center" vertical="center"/>
    </xf>
    <xf numFmtId="0" fontId="2" fillId="7" borderId="28" xfId="1" applyNumberFormat="1" applyFill="1" applyBorder="1" applyAlignment="1">
      <alignment horizontal="center" vertical="center"/>
    </xf>
    <xf numFmtId="0" fontId="13" fillId="2" borderId="33" xfId="1" applyFont="1" applyFill="1" applyBorder="1" applyAlignment="1" applyProtection="1">
      <alignment horizontal="center" vertical="center" wrapText="1"/>
      <protection locked="0"/>
    </xf>
    <xf numFmtId="0" fontId="13" fillId="2" borderId="36" xfId="1" applyFont="1" applyFill="1" applyBorder="1" applyAlignment="1" applyProtection="1">
      <alignment horizontal="center" vertical="center" wrapText="1"/>
      <protection locked="0"/>
    </xf>
    <xf numFmtId="0" fontId="10" fillId="7" borderId="18" xfId="1" applyFont="1" applyFill="1" applyBorder="1" applyAlignment="1">
      <alignment horizontal="center" vertical="center"/>
    </xf>
    <xf numFmtId="0" fontId="11" fillId="7" borderId="23" xfId="1" applyFont="1" applyFill="1" applyBorder="1" applyAlignment="1">
      <alignment horizontal="center" vertical="center"/>
    </xf>
    <xf numFmtId="0" fontId="11" fillId="7" borderId="26" xfId="1" applyFont="1" applyFill="1" applyBorder="1" applyAlignment="1">
      <alignment horizontal="center" vertical="center"/>
    </xf>
    <xf numFmtId="0" fontId="2" fillId="7" borderId="24" xfId="1" applyNumberFormat="1" applyFill="1" applyBorder="1" applyAlignment="1">
      <alignment horizontal="center" vertical="center"/>
    </xf>
    <xf numFmtId="0" fontId="2" fillId="7" borderId="4" xfId="1" applyNumberFormat="1" applyFill="1" applyBorder="1" applyAlignment="1">
      <alignment horizontal="center" vertical="center"/>
    </xf>
    <xf numFmtId="0" fontId="10" fillId="7" borderId="23" xfId="1" applyFont="1" applyFill="1" applyBorder="1" applyAlignment="1">
      <alignment horizontal="center" vertical="center"/>
    </xf>
  </cellXfs>
  <cellStyles count="11">
    <cellStyle name="メモ 2" xfId="3"/>
    <cellStyle name="桁区切り 2" xfId="4"/>
    <cellStyle name="桁区切り 3" xfId="5"/>
    <cellStyle name="通貨 2" xfId="6"/>
    <cellStyle name="標準" xfId="0" builtinId="0"/>
    <cellStyle name="標準 2" xfId="1"/>
    <cellStyle name="標準 2 2" xfId="2"/>
    <cellStyle name="標準 3" xfId="7"/>
    <cellStyle name="標準 4" xfId="8"/>
    <cellStyle name="標準 5" xfId="9"/>
    <cellStyle name="標準 6" xfId="10"/>
  </cellStyles>
  <dxfs count="13"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ＭＳ Ｐゴシック"/>
        <scheme val="minor"/>
      </font>
      <numFmt numFmtId="0" formatCode="General"/>
      <fill>
        <patternFill patternType="solid">
          <fgColor theme="4"/>
          <bgColor theme="4"/>
        </patternFill>
      </fill>
      <alignment horizontal="general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76" formatCode="#,##0_ "/>
      <alignment horizontal="general" vertical="center" textRotation="0" wrapText="0" indent="0" justifyLastLine="0" shrinkToFit="0" readingOrder="0"/>
    </dxf>
    <dxf>
      <numFmt numFmtId="176" formatCode="#,##0_ 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76" formatCode="#,##0_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</dxfs>
  <tableStyles count="0" defaultTableStyle="TableStyleMedium2" defaultPivotStyle="PivotStyleMedium9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133350</xdr:rowOff>
    </xdr:from>
    <xdr:to>
      <xdr:col>19</xdr:col>
      <xdr:colOff>0</xdr:colOff>
      <xdr:row>15</xdr:row>
      <xdr:rowOff>0</xdr:rowOff>
    </xdr:to>
    <xdr:sp macro="" textlink="">
      <xdr:nvSpPr>
        <xdr:cNvPr id="14" name="正方形/長方形 13"/>
        <xdr:cNvSpPr/>
      </xdr:nvSpPr>
      <xdr:spPr>
        <a:xfrm>
          <a:off x="2895600" y="895350"/>
          <a:ext cx="6781800" cy="18002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17</xdr:row>
      <xdr:rowOff>123825</xdr:rowOff>
    </xdr:from>
    <xdr:to>
      <xdr:col>19</xdr:col>
      <xdr:colOff>0</xdr:colOff>
      <xdr:row>31</xdr:row>
      <xdr:rowOff>0</xdr:rowOff>
    </xdr:to>
    <xdr:sp macro="" textlink="">
      <xdr:nvSpPr>
        <xdr:cNvPr id="17" name="正方形/長方形 16"/>
        <xdr:cNvSpPr/>
      </xdr:nvSpPr>
      <xdr:spPr>
        <a:xfrm>
          <a:off x="2895600" y="3209925"/>
          <a:ext cx="6781800" cy="2324100"/>
        </a:xfrm>
        <a:prstGeom prst="rect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85725</xdr:colOff>
      <xdr:row>17</xdr:row>
      <xdr:rowOff>0</xdr:rowOff>
    </xdr:from>
    <xdr:to>
      <xdr:col>6</xdr:col>
      <xdr:colOff>1285875</xdr:colOff>
      <xdr:row>18</xdr:row>
      <xdr:rowOff>9525</xdr:rowOff>
    </xdr:to>
    <xdr:pic>
      <xdr:nvPicPr>
        <xdr:cNvPr id="20" name="図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3152775"/>
          <a:ext cx="120015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4</xdr:row>
      <xdr:rowOff>0</xdr:rowOff>
    </xdr:from>
    <xdr:to>
      <xdr:col>6</xdr:col>
      <xdr:colOff>895350</xdr:colOff>
      <xdr:row>5</xdr:row>
      <xdr:rowOff>9525</xdr:rowOff>
    </xdr:to>
    <xdr:pic>
      <xdr:nvPicPr>
        <xdr:cNvPr id="21" name="図 2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762000"/>
          <a:ext cx="8001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38100</xdr:colOff>
      <xdr:row>8</xdr:row>
      <xdr:rowOff>123825</xdr:rowOff>
    </xdr:from>
    <xdr:to>
      <xdr:col>12</xdr:col>
      <xdr:colOff>2</xdr:colOff>
      <xdr:row>10</xdr:row>
      <xdr:rowOff>4</xdr:rowOff>
    </xdr:to>
    <xdr:cxnSp macro="">
      <xdr:nvCxnSpPr>
        <xdr:cNvPr id="3" name="カギ線コネクタ 2"/>
        <xdr:cNvCxnSpPr/>
      </xdr:nvCxnSpPr>
      <xdr:spPr>
        <a:xfrm rot="10800000">
          <a:off x="5210175" y="1638300"/>
          <a:ext cx="723902" cy="228604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</xdr:colOff>
      <xdr:row>21</xdr:row>
      <xdr:rowOff>85726</xdr:rowOff>
    </xdr:from>
    <xdr:to>
      <xdr:col>12</xdr:col>
      <xdr:colOff>0</xdr:colOff>
      <xdr:row>24</xdr:row>
      <xdr:rowOff>1</xdr:rowOff>
    </xdr:to>
    <xdr:cxnSp macro="">
      <xdr:nvCxnSpPr>
        <xdr:cNvPr id="7" name="カギ線コネクタ 6"/>
        <xdr:cNvCxnSpPr/>
      </xdr:nvCxnSpPr>
      <xdr:spPr>
        <a:xfrm rot="10800000">
          <a:off x="5229225" y="3971926"/>
          <a:ext cx="704850" cy="42862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1" name="テーブル1" displayName="テーブル1" ref="J13:P19" totalsRowShown="0" headerRowDxfId="12" headerRowCellStyle="標準 2">
  <autoFilter ref="J13:P19"/>
  <tableColumns count="7">
    <tableColumn id="1" name="ランク始" dataDxfId="11"/>
    <tableColumn id="2" name="～" dataDxfId="10"/>
    <tableColumn id="3" name="ランク終" dataDxfId="9"/>
    <tableColumn id="4" name="単価" dataDxfId="8"/>
    <tableColumn id="5" name="累積" dataDxfId="7" dataCellStyle="標準 2"/>
    <tableColumn id="6" name="作業列1" dataCellStyle="標準 2"/>
    <tableColumn id="7" name="作業列2" dataDxfId="6" dataCellStyle="標準 2">
      <calculatedColumnFormula>IF(AND(集合用途割数=集合用途一段階始-1,集合用途端数&gt;0),"○",IF(テーブル1[[#This Row],[累積]]=0,"×",IF(テーブル1[[#This Row],[累積]]=テーブル1[[#This Row],[作業列1]],"×","○")))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J24:P33" totalsRowShown="0" headerRowDxfId="5" headerRowBorderDxfId="4" tableBorderDxfId="3" headerRowCellStyle="標準 2" dataCellStyle="標準 2">
  <autoFilter ref="J24:P33"/>
  <tableColumns count="7">
    <tableColumn id="1" name="ランク始" dataCellStyle="標準 2"/>
    <tableColumn id="2" name="～" dataDxfId="2">
      <calculatedColumnFormula>IF(ISERROR(INDIRECT(用途 &amp; "一段階始"))=TRUE,"","～")</calculatedColumnFormula>
    </tableColumn>
    <tableColumn id="3" name="ランク終" dataCellStyle="標準 2"/>
    <tableColumn id="4" name="単価" dataCellStyle="標準 2">
      <calculatedColumnFormula>マスタ!L26</calculatedColumnFormula>
    </tableColumn>
    <tableColumn id="5" name="累積" dataCellStyle="標準 2"/>
    <tableColumn id="6" name="作業列1" dataDxfId="1" dataCellStyle="標準 2">
      <calculatedColumnFormula>(テーブル2[[#This Row],[ランク終]]-テーブル2[[#This Row],[ランク始]]+1)*テーブル2[[#This Row],[単価]]</calculatedColumnFormula>
    </tableColumn>
    <tableColumn id="7" name="作業列2" dataDxfId="0" dataCellStyle="標準 2">
      <calculatedColumnFormula>IF(AND(集合用途割数=テーブル2[[#This Row],[ランク始]]-1,集合用途端数&gt;0),"○",IF(テーブル2[[#This Row],[累積]]=0,"×",IF(テーブル2[[#This Row],[累積]]=テーブル2[[#This Row],[作業列1]],"×","○")))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R34"/>
  <sheetViews>
    <sheetView tabSelected="1" workbookViewId="0">
      <selection activeCell="R30" sqref="R30"/>
    </sheetView>
  </sheetViews>
  <sheetFormatPr defaultRowHeight="13.5"/>
  <cols>
    <col min="1" max="1" width="3.375" style="36" customWidth="1"/>
    <col min="2" max="2" width="10.125" style="36" customWidth="1"/>
    <col min="3" max="3" width="15.125" style="36" customWidth="1"/>
    <col min="4" max="4" width="5.75" style="36" customWidth="1"/>
    <col min="5" max="5" width="1.75" style="36" customWidth="1"/>
    <col min="6" max="6" width="1.875" style="36" customWidth="1"/>
    <col min="7" max="7" width="18.625" style="36" bestFit="1" customWidth="1"/>
    <col min="8" max="8" width="11.25" style="36" customWidth="1"/>
    <col min="9" max="9" width="3.625" style="36" customWidth="1"/>
    <col min="10" max="10" width="2" style="36" customWidth="1"/>
    <col min="11" max="11" width="1.75" style="36" customWidth="1"/>
    <col min="12" max="12" width="2.625" style="36" customWidth="1"/>
    <col min="13" max="13" width="2.125" style="36" customWidth="1"/>
    <col min="14" max="14" width="9" style="36"/>
    <col min="15" max="15" width="2.75" style="36" customWidth="1"/>
    <col min="16" max="16" width="8.125" style="36" customWidth="1"/>
    <col min="17" max="17" width="12.5" style="36" customWidth="1"/>
    <col min="18" max="18" width="12.125" style="36" customWidth="1"/>
    <col min="19" max="19" width="2.5" style="36" customWidth="1"/>
    <col min="20" max="20" width="2.625" style="36" customWidth="1"/>
    <col min="21" max="16384" width="9" style="36"/>
  </cols>
  <sheetData>
    <row r="2" spans="2:18" ht="19.5" customHeight="1">
      <c r="B2" s="64" t="s">
        <v>57</v>
      </c>
      <c r="P2" s="69"/>
    </row>
    <row r="5" spans="2:18" ht="17.25">
      <c r="G5" s="37"/>
    </row>
    <row r="6" spans="2:18" ht="14.25" thickBot="1"/>
    <row r="7" spans="2:18" ht="13.5" customHeight="1" thickBot="1">
      <c r="B7" s="36" t="s">
        <v>0</v>
      </c>
      <c r="C7" s="65" t="s">
        <v>61</v>
      </c>
      <c r="G7" s="38" t="s">
        <v>24</v>
      </c>
      <c r="H7" s="39">
        <f ca="1">IF(上水道接続="なし",0,IF(AND(使用月数=1,使用水量&lt;=INDIRECT(用途&amp;"基本水量")/2),INDIRECT(用途&amp;"基本料金")/2,INDIRECT(用途&amp;"基本料金")))</f>
        <v>10000</v>
      </c>
      <c r="M7" s="40"/>
      <c r="N7" s="41" t="s">
        <v>3</v>
      </c>
      <c r="O7" s="41"/>
      <c r="P7" s="42"/>
      <c r="Q7" s="43" t="s">
        <v>8</v>
      </c>
      <c r="R7" s="41" t="s">
        <v>9</v>
      </c>
    </row>
    <row r="8" spans="2:18" ht="14.25" thickBot="1">
      <c r="G8" s="38" t="str">
        <f>"+       "</f>
        <v xml:space="preserve">+       </v>
      </c>
      <c r="H8" s="44"/>
      <c r="M8" s="45"/>
      <c r="N8" s="46" t="str">
        <f ca="1">INDIRECT(用途 &amp; "基本水量") &amp; "㎥まで（基本料金内)"</f>
        <v>40㎥まで（基本料金内)</v>
      </c>
      <c r="O8" s="46"/>
      <c r="P8" s="47"/>
      <c r="Q8" s="48">
        <v>0</v>
      </c>
      <c r="R8" s="49">
        <v>0</v>
      </c>
    </row>
    <row r="9" spans="2:18" ht="14.25" thickBot="1">
      <c r="B9" s="36" t="s">
        <v>1</v>
      </c>
      <c r="C9" s="66">
        <v>2</v>
      </c>
      <c r="D9" s="36" t="s">
        <v>2</v>
      </c>
      <c r="G9" s="38" t="s">
        <v>25</v>
      </c>
      <c r="H9" s="39">
        <f ca="1">SUM(R9:R14)</f>
        <v>285</v>
      </c>
      <c r="L9" s="36" t="s">
        <v>58</v>
      </c>
      <c r="M9" s="45"/>
      <c r="N9" s="44">
        <f ca="1">IF(ISERROR(INDIRECT(用途 &amp; "一段階始"))=TRUE,"",INDIRECT(用途 &amp; "一段階始"))</f>
        <v>41</v>
      </c>
      <c r="O9" s="50" t="str">
        <f ca="1">IF(ISERROR(INDIRECT(用途 &amp; "一段階始"))=TRUE,"","～")</f>
        <v>～</v>
      </c>
      <c r="P9" s="51">
        <f ca="1">IF(ISERROR(INDIRECT(用途 &amp; "一段階終"))=TRUE,"",IF(INDIRECT(用途 &amp; "一段階終")=99999999999999900000,"",INDIRECT(用途 &amp; "一段階終")))</f>
        <v>60</v>
      </c>
      <c r="Q9" s="52">
        <f ca="1">IF(ISERROR(INDIRECT(用途&amp;"一段階超過料金"))=TRUE,"",INDIRECT(用途&amp;"一段階超過料金"))</f>
        <v>285</v>
      </c>
      <c r="R9" s="44">
        <f ca="1">IF(上水道接続="なし",0,IF(ISERROR(INDIRECT(用途&amp;"一段階超過料金"))=TRUE,"",IF(一段階始&gt;使用水量,0,IF(一段階終&lt;使用水量,(一段階終-一段階始+1)*INDIRECT(用途 &amp; "一段階超過料金"),(使用水量-一段階始+1)*INDIRECT(用途 &amp; "一段階超過料金")))))</f>
        <v>285</v>
      </c>
    </row>
    <row r="10" spans="2:18" ht="13.5" customHeight="1" thickBot="1">
      <c r="G10" s="38" t="str">
        <f>"+       "</f>
        <v xml:space="preserve">+       </v>
      </c>
      <c r="H10" s="44"/>
      <c r="J10" s="98"/>
      <c r="K10" s="98"/>
      <c r="M10" s="45"/>
      <c r="N10" s="53">
        <f ca="1">IF(ISERROR(INDIRECT(用途 &amp; "二段階始"))=TRUE,"",INDIRECT(用途 &amp; "二段階始"))</f>
        <v>61</v>
      </c>
      <c r="O10" s="50" t="str">
        <f ca="1">IF(ISERROR(INDIRECT(用途 &amp; "二段階始"))=TRUE,"","～")</f>
        <v>～</v>
      </c>
      <c r="P10" s="51">
        <f ca="1">IF(ISERROR(INDIRECT(用途 &amp; "二段階終"))=TRUE,"",IF(INDIRECT(用途 &amp; "二段階終")=99999999999999900000,"",INDIRECT(用途 &amp; "二段階終")))</f>
        <v>100</v>
      </c>
      <c r="Q10" s="52">
        <f ca="1">IF(ISERROR(INDIRECT(用途&amp;"二段階超過料金"))=TRUE,"",INDIRECT(用途&amp;"二段階超過料金"))</f>
        <v>315</v>
      </c>
      <c r="R10" s="44">
        <f ca="1">IF(上水道接続="なし",0,IF(上水道接続="なし",0,IF(ISERROR(INDIRECT(用途&amp;"二段階超過料金"))=TRUE,"",IF(二段階始&gt;使用水量,0,IF(二段階終&lt;使用水量,(二段階終-二段階始+1)*INDIRECT(用途&amp;"二段階超過料金"),(使用水量-二段階始+1)*INDIRECT(用途&amp;"二段階超過料金"))))))</f>
        <v>0</v>
      </c>
    </row>
    <row r="11" spans="2:18" ht="13.5" customHeight="1" thickBot="1">
      <c r="B11" s="36" t="s">
        <v>3</v>
      </c>
      <c r="C11" s="66">
        <v>41</v>
      </c>
      <c r="D11" s="36" t="s">
        <v>4</v>
      </c>
      <c r="G11" s="38" t="str">
        <f>"消費税　" &amp; DBCS(消費税率) &amp; "％(C)"</f>
        <v>消費税　１０％(C)</v>
      </c>
      <c r="H11" s="39">
        <f ca="1">ROUNDDOWN((H7+H9)*消費税率/100,0)</f>
        <v>1028</v>
      </c>
      <c r="I11" s="54"/>
      <c r="J11" s="98"/>
      <c r="K11" s="98"/>
      <c r="M11" s="45"/>
      <c r="N11" s="53">
        <f ca="1">IF(ISERROR(INDIRECT(用途 &amp; "三段階始"))=TRUE,"",INDIRECT(用途 &amp; "三段階始"))</f>
        <v>101</v>
      </c>
      <c r="O11" s="50" t="str">
        <f ca="1">IF(ISERROR(INDIRECT(用途 &amp; "三段階始"))=TRUE,"","～")</f>
        <v>～</v>
      </c>
      <c r="P11" s="51" t="str">
        <f ca="1">IF(ISERROR(INDIRECT(用途 &amp; "三段階終"))=TRUE,"",IF(INDIRECT(用途 &amp; "三段階終")=99999999999999900000,"",INDIRECT(用途 &amp; "三段階終")))</f>
        <v/>
      </c>
      <c r="Q11" s="52">
        <f ca="1">IF(ISERROR(INDIRECT(用途&amp;"三段階超過料金"))=TRUE,"",INDIRECT(用途&amp;"三段階超過料金"))</f>
        <v>325</v>
      </c>
      <c r="R11" s="44">
        <f ca="1">IF(上水道接続="なし",0,IF(ISERROR(INDIRECT(用途&amp;"三段階超過料金"))=TRUE,"",IF(三段階始&gt;使用水量,0,IF(三段階終&lt;使用水量,(三段階終-三段階始+1)*INDIRECT(用途&amp;"三段階超過料金"),(使用水量-三段階始+1)*INDIRECT(用途&amp;"三段階超過料金")))))</f>
        <v>0</v>
      </c>
    </row>
    <row r="12" spans="2:18" ht="14.25" thickBot="1">
      <c r="G12" s="38" t="str">
        <f>"+       "</f>
        <v xml:space="preserve">+       </v>
      </c>
      <c r="H12" s="44"/>
      <c r="L12" s="36" t="s">
        <v>59</v>
      </c>
      <c r="M12" s="45"/>
      <c r="N12" s="53" t="str">
        <f ca="1">IF(ISERROR(INDIRECT(用途 &amp; "四段階始"))=TRUE,"",INDIRECT(用途 &amp; "四段階始"))</f>
        <v/>
      </c>
      <c r="O12" s="50" t="str">
        <f ca="1">IF(ISERROR(INDIRECT(用途 &amp; "四段階始"))=TRUE,"","～")</f>
        <v/>
      </c>
      <c r="P12" s="51" t="str">
        <f ca="1">IF(ISERROR(INDIRECT(用途 &amp; "四段階終"))=TRUE,"",IF(INDIRECT(用途 &amp; "四段階終")=99999999999999900000,"",INDIRECT(用途 &amp; "四段階終")))</f>
        <v/>
      </c>
      <c r="Q12" s="52" t="str">
        <f ca="1">IF(ISERROR(INDIRECT(用途&amp;"四段階超過料金"))=TRUE,"",INDIRECT(用途&amp;"四段階超過料金"))</f>
        <v/>
      </c>
      <c r="R12" s="44" t="str">
        <f ca="1">IF(上水道接続="なし",0,IF(ISERROR(INDIRECT(用途&amp;"四段階超過料金"))=TRUE,"",IF(四段階始&gt;使用水量,0,IF(四段階終&lt;使用水量,(四段階終-四段階始+1)*INDIRECT(用途&amp;"四段階超過料金"),(使用水量-四段階始+1)*INDIRECT(用途&amp;"四段階超過料金")))))</f>
        <v/>
      </c>
    </row>
    <row r="13" spans="2:18" ht="14.25" thickBot="1">
      <c r="B13" s="36" t="s">
        <v>6</v>
      </c>
      <c r="C13" s="65" t="s">
        <v>7</v>
      </c>
      <c r="G13" s="38" t="s">
        <v>23</v>
      </c>
      <c r="H13" s="39">
        <f ca="1">H7+H9+H11</f>
        <v>11313</v>
      </c>
      <c r="I13" s="55" t="s">
        <v>30</v>
      </c>
      <c r="J13" s="55"/>
      <c r="K13" s="55"/>
      <c r="L13" s="55"/>
      <c r="M13" s="45"/>
      <c r="N13" s="53" t="str">
        <f ca="1">IF(ISERROR(INDIRECT(用途 &amp; "五段階始"))=TRUE,"",INDIRECT(用途 &amp; "五段階始"))</f>
        <v/>
      </c>
      <c r="O13" s="50" t="str">
        <f ca="1">IF(ISERROR(INDIRECT(用途 &amp; "五段階始"))=TRUE,"","～")</f>
        <v/>
      </c>
      <c r="P13" s="51" t="str">
        <f ca="1">IF(ISERROR(INDIRECT(用途 &amp; "五段階終"))=TRUE,"",IF(INDIRECT(用途 &amp; "五段階終")=99999999999999900000,"",INDIRECT(用途 &amp; "五段階終")))</f>
        <v/>
      </c>
      <c r="Q13" s="52" t="str">
        <f ca="1">IF(ISERROR(INDIRECT(用途&amp;"五段階超過料金"))=TRUE,"",INDIRECT(用途&amp;"五段階超過料金"))</f>
        <v/>
      </c>
      <c r="R13" s="44" t="str">
        <f ca="1">IF(上水道接続="なし",0,IF(ISERROR(INDIRECT(用途&amp;"五段階超過料金"))=TRUE,"",IF(五段階始&gt;使用水量,0,IF(五段階終&lt;使用水量,(五段階終-五段階始+1)*INDIRECT(用途&amp;"五段階超過料金"),(使用水量-五段階始+1)*INDIRECT(用途&amp;"五段階超過料金")))))</f>
        <v/>
      </c>
    </row>
    <row r="14" spans="2:18" ht="14.25" thickBot="1">
      <c r="G14" s="38"/>
      <c r="M14" s="56"/>
      <c r="N14" s="53" t="str">
        <f ca="1">IF(ISERROR(INDIRECT(用途 &amp; "六段階始"))=TRUE,"",INDIRECT(用途 &amp; "六段階始"))</f>
        <v/>
      </c>
      <c r="O14" s="50" t="str">
        <f ca="1">IF(ISERROR(INDIRECT(用途 &amp; "六段階始"))=TRUE,"","～")</f>
        <v/>
      </c>
      <c r="P14" s="57" t="str">
        <f ca="1">IF(ISERROR(INDIRECT(用途 &amp; "六段階終"))=TRUE,"",IF(INDIRECT(用途 &amp; "六段階終")=99999999999999900000,"",INDIRECT(用途 &amp; "六段階終")))</f>
        <v/>
      </c>
      <c r="Q14" s="52" t="str">
        <f ca="1">IF(ISERROR(INDIRECT(用途&amp;"六段階超過料金"))=TRUE,"",INDIRECT(用途&amp;"六段階超過料金"))</f>
        <v/>
      </c>
      <c r="R14" s="44" t="str">
        <f ca="1">IF(上水道接続="なし",0,IF(ISERROR(INDIRECT(用途&amp;"六段階超過料金"))=TRUE,"",IF(六段階始&gt;使用水量,0,IF(六段階終&lt;使用水量,(六段階終-六段階始+1)*INDIRECT(用途&amp;"六段階超過料金"),(使用水量-六段階始+1)*INDIRECT(用途&amp;"六段階超過料金")))))</f>
        <v/>
      </c>
    </row>
    <row r="15" spans="2:18" ht="14.25" thickBot="1">
      <c r="B15" s="36" t="s">
        <v>5</v>
      </c>
      <c r="C15" s="65" t="s">
        <v>62</v>
      </c>
      <c r="G15" s="38"/>
      <c r="H15" s="44"/>
    </row>
    <row r="16" spans="2:18">
      <c r="G16" s="38"/>
      <c r="H16" s="44"/>
    </row>
    <row r="17" spans="7:18" ht="17.25" customHeight="1">
      <c r="G17" s="38"/>
      <c r="H17" s="44"/>
    </row>
    <row r="18" spans="7:18" ht="17.25" customHeight="1">
      <c r="G18" s="38"/>
      <c r="H18" s="44"/>
    </row>
    <row r="19" spans="7:18">
      <c r="G19" s="38"/>
      <c r="H19" s="44"/>
    </row>
    <row r="20" spans="7:18">
      <c r="G20" s="38" t="s">
        <v>31</v>
      </c>
      <c r="H20" s="39">
        <f>IF(下水道接続="なし",0,IF(AND(使用月数=1,使用水量&lt;=一般汚水基本水量/2),一般汚水基本料金/2,一般汚水基本料金))</f>
        <v>0</v>
      </c>
      <c r="M20" s="40"/>
      <c r="N20" s="41" t="s">
        <v>3</v>
      </c>
      <c r="O20" s="41"/>
      <c r="P20" s="42"/>
      <c r="Q20" s="43" t="s">
        <v>8</v>
      </c>
      <c r="R20" s="41" t="s">
        <v>9</v>
      </c>
    </row>
    <row r="21" spans="7:18">
      <c r="G21" s="38" t="str">
        <f>"+       "</f>
        <v xml:space="preserve">+       </v>
      </c>
      <c r="H21" s="44"/>
      <c r="M21" s="58"/>
      <c r="N21" s="36" t="str">
        <f>一般汚水基本水量 &amp; "㎥まで（基本料金内)"</f>
        <v>20㎥まで（基本料金内)</v>
      </c>
      <c r="P21" s="59"/>
      <c r="Q21" s="60">
        <v>0</v>
      </c>
      <c r="R21" s="36">
        <v>0</v>
      </c>
    </row>
    <row r="22" spans="7:18">
      <c r="G22" s="38" t="s">
        <v>32</v>
      </c>
      <c r="H22" s="39">
        <f>SUM(R21:R30)</f>
        <v>0</v>
      </c>
      <c r="M22" s="58"/>
      <c r="N22" s="44">
        <f>一般汚水一段階始</f>
        <v>21</v>
      </c>
      <c r="O22" s="36" t="s">
        <v>14</v>
      </c>
      <c r="P22" s="57">
        <f>一般汚水一段階終</f>
        <v>40</v>
      </c>
      <c r="Q22" s="52">
        <f>マスタ!L26</f>
        <v>70</v>
      </c>
      <c r="R22" s="44">
        <f>IF(下水道接続="なし",0,IF(ISERROR(一般汚水一段階超過料金)=TRUE,"",IF(一段階始下&gt;使用水量,0,IF(一段階終下&lt;使用水量,(一段階終下-一段階始下+1)*一般汚水一段階超過料金,(使用水量-一段階始下+1)*一般汚水一段階超過料金))))</f>
        <v>0</v>
      </c>
    </row>
    <row r="23" spans="7:18">
      <c r="G23" s="38" t="str">
        <f>"+       "</f>
        <v xml:space="preserve">+       </v>
      </c>
      <c r="H23" s="44"/>
      <c r="L23" s="36" t="s">
        <v>60</v>
      </c>
      <c r="M23" s="58"/>
      <c r="N23" s="44">
        <f>一般汚水二段階始</f>
        <v>41</v>
      </c>
      <c r="O23" s="36" t="s">
        <v>14</v>
      </c>
      <c r="P23" s="57">
        <f>一般汚水二段階終</f>
        <v>60</v>
      </c>
      <c r="Q23" s="52">
        <f>マスタ!L27</f>
        <v>75</v>
      </c>
      <c r="R23" s="44">
        <f>IF(下水道接続="なし",0,IF(ISERROR(一般汚水二段階超過料金)=TRUE,"",IF(二段階始下&gt;使用水量,0,IF(二段階終下&lt;使用水量,(二段階終下-二段階始下+1)*一般汚水二段階超過料金,(使用水量-二段階始下+1)*一般汚水二段階超過料金))))</f>
        <v>0</v>
      </c>
    </row>
    <row r="24" spans="7:18" ht="13.5" customHeight="1">
      <c r="G24" s="38" t="str">
        <f>"消費税　" &amp; DBCS(消費税率) &amp; "％(G)"</f>
        <v>消費税　１０％(G)</v>
      </c>
      <c r="H24" s="39">
        <f>ROUNDDOWN((H20+H22)*消費税率/100,0)</f>
        <v>0</v>
      </c>
      <c r="J24" s="99"/>
      <c r="K24" s="99"/>
      <c r="M24" s="58"/>
      <c r="N24" s="44">
        <f>一般汚水三段階始</f>
        <v>61</v>
      </c>
      <c r="O24" s="36" t="s">
        <v>14</v>
      </c>
      <c r="P24" s="57">
        <f>一般汚水三段階終</f>
        <v>100</v>
      </c>
      <c r="Q24" s="52">
        <f>マスタ!L28</f>
        <v>90</v>
      </c>
      <c r="R24" s="44">
        <f>IF(下水道接続="なし",0,IF(ISERROR(一般汚水三段階超過料金)=TRUE,"",IF(三段階始下&gt;使用水量,0,IF(三段階終下&lt;使用水量,(三段階終下-三段階始下+1)*一般汚水三段階超過料金,(使用水量-三段階始下+1)*一般汚水三段階超過料金))))</f>
        <v>0</v>
      </c>
    </row>
    <row r="25" spans="7:18" ht="13.5" customHeight="1">
      <c r="G25" s="38" t="str">
        <f>"+       "</f>
        <v xml:space="preserve">+       </v>
      </c>
      <c r="H25" s="44"/>
      <c r="J25" s="99"/>
      <c r="K25" s="99"/>
      <c r="M25" s="58"/>
      <c r="N25" s="44">
        <f>一般汚水四段階始</f>
        <v>101</v>
      </c>
      <c r="O25" s="36" t="s">
        <v>14</v>
      </c>
      <c r="P25" s="57">
        <f>一般汚水四段階終</f>
        <v>200</v>
      </c>
      <c r="Q25" s="52">
        <f>マスタ!L29</f>
        <v>100</v>
      </c>
      <c r="R25" s="44">
        <f>IF(下水道接続="なし",0,IF(ISERROR(一般汚水四段階超過料金)=TRUE,"",IF(四段階始下&gt;使用水量,0,IF(四段階終下&lt;使用水量,(四段階終下-四段階始下+1)*一般汚水四段階超過料金,(使用水量-四段階始下+1)*一般汚水四段階超過料金))))</f>
        <v>0</v>
      </c>
    </row>
    <row r="26" spans="7:18">
      <c r="G26" s="38" t="s">
        <v>33</v>
      </c>
      <c r="H26" s="39">
        <f>H20+H22+H24</f>
        <v>0</v>
      </c>
      <c r="I26" s="55" t="s">
        <v>34</v>
      </c>
      <c r="J26" s="99"/>
      <c r="K26" s="99"/>
      <c r="L26" s="61"/>
      <c r="M26" s="58"/>
      <c r="N26" s="44">
        <f>一般汚水五段階始</f>
        <v>201</v>
      </c>
      <c r="O26" s="36" t="s">
        <v>14</v>
      </c>
      <c r="P26" s="57">
        <f>一般汚水五段階終</f>
        <v>1000</v>
      </c>
      <c r="Q26" s="52">
        <f>マスタ!L30</f>
        <v>120</v>
      </c>
      <c r="R26" s="44">
        <f>IF(下水道接続="なし",0,IF(ISERROR(一般汚水五段階超過料金)=TRUE,"",IF(五段階始下&gt;使用水量,0,IF(五段階終下&lt;使用水量,(五段階終下-五段階始下+1)*一般汚水五段階超過料金,(使用水量-五段階始下+1)*一般汚水五段階超過料金))))</f>
        <v>0</v>
      </c>
    </row>
    <row r="27" spans="7:18">
      <c r="L27" s="36" t="s">
        <v>59</v>
      </c>
      <c r="M27" s="58"/>
      <c r="N27" s="44">
        <f>一般汚水六段階始</f>
        <v>1001</v>
      </c>
      <c r="O27" s="36" t="s">
        <v>14</v>
      </c>
      <c r="P27" s="57">
        <f>一般汚水六段階終</f>
        <v>2000</v>
      </c>
      <c r="Q27" s="52">
        <f>マスタ!L31</f>
        <v>125</v>
      </c>
      <c r="R27" s="44">
        <f>IF(下水道接続="なし",0,IF(ISERROR(一般汚水六段階超過料金)=TRUE,"",IF(六段階始下&gt;使用水量,0,IF(六段階終下&lt;使用水量,(六段階終下-六段階始下+1)*一般汚水六段階超過料金,(使用水量-六段階始下+1)*一般汚水六段階超過料金))))</f>
        <v>0</v>
      </c>
    </row>
    <row r="28" spans="7:18">
      <c r="M28" s="58"/>
      <c r="N28" s="44">
        <f>一般汚水七段階始</f>
        <v>2001</v>
      </c>
      <c r="O28" s="36" t="s">
        <v>14</v>
      </c>
      <c r="P28" s="57">
        <f>一般汚水七段階終</f>
        <v>10000</v>
      </c>
      <c r="Q28" s="52">
        <f>マスタ!L32</f>
        <v>135</v>
      </c>
      <c r="R28" s="44">
        <f>IF(下水道接続="なし",0,IF(ISERROR(一般汚水七段階超過料金)=TRUE,"",IF(七段階始下&gt;使用水量,0,IF(七段階終下&lt;使用水量,(七段階終下-七段階始下+1)*一般汚水七段階超過料金,(使用水量-七段階始下+1)*一般汚水七段階超過料金))))</f>
        <v>0</v>
      </c>
    </row>
    <row r="29" spans="7:18">
      <c r="M29" s="58"/>
      <c r="N29" s="44">
        <f>一般汚水八段階始</f>
        <v>10001</v>
      </c>
      <c r="O29" s="36" t="s">
        <v>14</v>
      </c>
      <c r="P29" s="57">
        <f>一般汚水八段階終</f>
        <v>20000</v>
      </c>
      <c r="Q29" s="52">
        <f>マスタ!L33</f>
        <v>160</v>
      </c>
      <c r="R29" s="44">
        <f>IF(下水道接続="なし",0,IF(ISERROR(一般汚水八段階超過料金)=TRUE,"",IF(八段階始下&gt;使用水量,0,IF(八段階終下&lt;使用水量,(八段階終下-八段階始下+1)*一般汚水八段階超過料金,(使用水量-八段階始下+1)*一般汚水八段階超過料金))))</f>
        <v>0</v>
      </c>
    </row>
    <row r="30" spans="7:18">
      <c r="M30" s="62"/>
      <c r="N30" s="44">
        <f>一般汚水九段階始</f>
        <v>20001</v>
      </c>
      <c r="O30" s="36" t="s">
        <v>14</v>
      </c>
      <c r="P30" s="57" t="str">
        <f>IF(一般汚水九段階終=99999999999999900000,"",一般汚水九段階終)</f>
        <v/>
      </c>
      <c r="Q30" s="52">
        <f>マスタ!L34</f>
        <v>175</v>
      </c>
      <c r="R30" s="44">
        <f>IF(下水道接続="なし",0,IF(ISERROR(一般汚水九段階超過料金)=TRUE,"",IF(九段階始下&gt;使用水量,0,IF(九段階終下&lt;使用水量,(九段階終下-九段階始下+1)*一般汚水九段階超過料金,(使用水量-九段階始下+1)*一般汚水九段階超過料金))))</f>
        <v>0</v>
      </c>
    </row>
    <row r="32" spans="7:18" ht="13.5" customHeight="1"/>
    <row r="33" spans="2:2" ht="14.25" customHeight="1"/>
    <row r="34" spans="2:2" ht="17.25">
      <c r="B34" s="63" t="str">
        <f ca="1">"上下水道料金（D+H）　　　" &amp; TEXT(H13+H26,"#,###円")</f>
        <v>上下水道料金（D+H）　　　11,313円</v>
      </c>
    </row>
  </sheetData>
  <sheetProtection algorithmName="SHA-512" hashValue="UcGhVkhJF1M3yOYrnDjYoUhvKfw0vJBn3Es4Ur3hSdUr9xBivnNcAo8Aq5bTuUE2CNhaj+akI8sGRMLafU8nfg==" saltValue="37iUeCinzsRobhTNOBM5UA==" spinCount="100000" sheet="1" objects="1" scenarios="1"/>
  <mergeCells count="1">
    <mergeCell ref="J24:K26"/>
  </mergeCells>
  <phoneticPr fontId="3"/>
  <dataValidations count="4">
    <dataValidation type="list" allowBlank="1" showInputMessage="1" showErrorMessage="1" sqref="C7">
      <formula1>"家事用,営業用・官公署用,工場用,浴場用,臨時用"</formula1>
    </dataValidation>
    <dataValidation type="list" allowBlank="1" showInputMessage="1" showErrorMessage="1" sqref="C9">
      <formula1>"1,2"</formula1>
    </dataValidation>
    <dataValidation imeMode="off" allowBlank="1" showInputMessage="1" showErrorMessage="1" sqref="C11"/>
    <dataValidation type="list" allowBlank="1" showInputMessage="1" showErrorMessage="1" sqref="C13 C15">
      <formula1>"あり,なし"</formula1>
    </dataValidation>
  </dataValidations>
  <pageMargins left="0.7" right="0.7" top="0.75" bottom="0.75" header="0.3" footer="0.3"/>
  <pageSetup paperSize="9" orientation="landscape" r:id="rId1"/>
  <ignoredErrors>
    <ignoredError sqref="G11 G2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L39"/>
  <sheetViews>
    <sheetView workbookViewId="0">
      <selection activeCell="C3" sqref="C3"/>
    </sheetView>
  </sheetViews>
  <sheetFormatPr defaultRowHeight="13.5"/>
  <cols>
    <col min="1" max="1" width="3.75" customWidth="1"/>
    <col min="4" max="4" width="3.75" customWidth="1"/>
    <col min="5" max="5" width="2.625" customWidth="1"/>
    <col min="8" max="8" width="15" customWidth="1"/>
    <col min="9" max="9" width="6.5" bestFit="1" customWidth="1"/>
    <col min="10" max="10" width="3.625" customWidth="1"/>
    <col min="11" max="11" width="6.5" bestFit="1" customWidth="1"/>
  </cols>
  <sheetData>
    <row r="1" spans="2:12" ht="14.25" thickBot="1"/>
    <row r="2" spans="2:12" ht="14.25" thickBot="1">
      <c r="B2" t="s">
        <v>22</v>
      </c>
      <c r="C2" s="4">
        <v>10</v>
      </c>
      <c r="D2" s="3" t="s">
        <v>21</v>
      </c>
      <c r="F2" s="106" t="s">
        <v>27</v>
      </c>
      <c r="G2" s="107"/>
      <c r="H2" s="107"/>
      <c r="I2" s="107"/>
      <c r="J2" s="107"/>
      <c r="K2" s="107"/>
      <c r="L2" s="104"/>
    </row>
    <row r="3" spans="2:12">
      <c r="F3" s="5"/>
      <c r="G3" s="104" t="s">
        <v>10</v>
      </c>
      <c r="H3" s="105"/>
      <c r="I3" s="105" t="s">
        <v>8</v>
      </c>
      <c r="J3" s="105"/>
      <c r="K3" s="105"/>
      <c r="L3" s="105"/>
    </row>
    <row r="4" spans="2:12">
      <c r="F4" s="15" t="s">
        <v>26</v>
      </c>
      <c r="G4" s="18" t="s">
        <v>18</v>
      </c>
      <c r="H4" s="15" t="s">
        <v>19</v>
      </c>
      <c r="I4" s="120" t="s">
        <v>18</v>
      </c>
      <c r="J4" s="121"/>
      <c r="K4" s="122"/>
      <c r="L4" s="15" t="s">
        <v>19</v>
      </c>
    </row>
    <row r="5" spans="2:12">
      <c r="F5" s="108" t="s">
        <v>11</v>
      </c>
      <c r="G5" s="117">
        <v>10</v>
      </c>
      <c r="H5" s="108">
        <v>3200</v>
      </c>
      <c r="I5" s="19">
        <v>11</v>
      </c>
      <c r="J5" s="18" t="s">
        <v>15</v>
      </c>
      <c r="K5" s="20">
        <v>20</v>
      </c>
      <c r="L5" s="21">
        <v>30</v>
      </c>
    </row>
    <row r="6" spans="2:12">
      <c r="F6" s="109"/>
      <c r="G6" s="118"/>
      <c r="H6" s="109"/>
      <c r="I6" s="9">
        <v>21</v>
      </c>
      <c r="J6" s="10" t="s">
        <v>15</v>
      </c>
      <c r="K6" s="11">
        <v>40</v>
      </c>
      <c r="L6" s="16">
        <v>210</v>
      </c>
    </row>
    <row r="7" spans="2:12">
      <c r="F7" s="109"/>
      <c r="G7" s="118"/>
      <c r="H7" s="109"/>
      <c r="I7" s="9">
        <v>41</v>
      </c>
      <c r="J7" s="10" t="s">
        <v>15</v>
      </c>
      <c r="K7" s="11">
        <v>60</v>
      </c>
      <c r="L7" s="16">
        <v>240</v>
      </c>
    </row>
    <row r="8" spans="2:12">
      <c r="F8" s="109"/>
      <c r="G8" s="118"/>
      <c r="H8" s="109"/>
      <c r="I8" s="9">
        <v>61</v>
      </c>
      <c r="J8" s="10" t="s">
        <v>15</v>
      </c>
      <c r="K8" s="11">
        <v>100</v>
      </c>
      <c r="L8" s="16">
        <v>265</v>
      </c>
    </row>
    <row r="9" spans="2:12">
      <c r="F9" s="109"/>
      <c r="G9" s="118"/>
      <c r="H9" s="109"/>
      <c r="I9" s="9">
        <v>101</v>
      </c>
      <c r="J9" s="10" t="s">
        <v>15</v>
      </c>
      <c r="K9" s="11">
        <v>200</v>
      </c>
      <c r="L9" s="16">
        <v>290</v>
      </c>
    </row>
    <row r="10" spans="2:12">
      <c r="F10" s="110"/>
      <c r="G10" s="119"/>
      <c r="H10" s="110"/>
      <c r="I10" s="12">
        <v>201</v>
      </c>
      <c r="J10" s="13" t="s">
        <v>15</v>
      </c>
      <c r="K10" s="14">
        <v>9.9999999999999902E+19</v>
      </c>
      <c r="L10" s="17">
        <v>315</v>
      </c>
    </row>
    <row r="11" spans="2:12">
      <c r="F11" s="114" t="s">
        <v>16</v>
      </c>
      <c r="G11" s="117">
        <v>40</v>
      </c>
      <c r="H11" s="108">
        <v>10000</v>
      </c>
      <c r="I11" s="19">
        <v>41</v>
      </c>
      <c r="J11" s="18" t="s">
        <v>17</v>
      </c>
      <c r="K11" s="20">
        <v>60</v>
      </c>
      <c r="L11" s="21">
        <v>285</v>
      </c>
    </row>
    <row r="12" spans="2:12">
      <c r="F12" s="115"/>
      <c r="G12" s="118"/>
      <c r="H12" s="109"/>
      <c r="I12" s="9">
        <v>61</v>
      </c>
      <c r="J12" s="10" t="s">
        <v>17</v>
      </c>
      <c r="K12" s="11">
        <v>100</v>
      </c>
      <c r="L12" s="16">
        <v>315</v>
      </c>
    </row>
    <row r="13" spans="2:12">
      <c r="F13" s="116"/>
      <c r="G13" s="119"/>
      <c r="H13" s="110"/>
      <c r="I13" s="12">
        <v>101</v>
      </c>
      <c r="J13" s="13" t="s">
        <v>17</v>
      </c>
      <c r="K13" s="14">
        <v>9.9999999999999902E+19</v>
      </c>
      <c r="L13" s="17">
        <v>325</v>
      </c>
    </row>
    <row r="14" spans="2:12">
      <c r="F14" s="108" t="s">
        <v>12</v>
      </c>
      <c r="G14" s="117">
        <v>200</v>
      </c>
      <c r="H14" s="108">
        <v>54000</v>
      </c>
      <c r="I14" s="19">
        <v>201</v>
      </c>
      <c r="J14" s="18" t="s">
        <v>17</v>
      </c>
      <c r="K14" s="20">
        <v>1000</v>
      </c>
      <c r="L14" s="21">
        <v>285</v>
      </c>
    </row>
    <row r="15" spans="2:12">
      <c r="F15" s="109"/>
      <c r="G15" s="118"/>
      <c r="H15" s="109"/>
      <c r="I15" s="9">
        <v>1001</v>
      </c>
      <c r="J15" s="10" t="s">
        <v>17</v>
      </c>
      <c r="K15" s="11">
        <v>2000</v>
      </c>
      <c r="L15" s="16">
        <v>315</v>
      </c>
    </row>
    <row r="16" spans="2:12">
      <c r="F16" s="109"/>
      <c r="G16" s="118"/>
      <c r="H16" s="109"/>
      <c r="I16" s="9">
        <v>2001</v>
      </c>
      <c r="J16" s="10" t="s">
        <v>17</v>
      </c>
      <c r="K16" s="11">
        <v>4000</v>
      </c>
      <c r="L16" s="16">
        <v>340</v>
      </c>
    </row>
    <row r="17" spans="6:12">
      <c r="F17" s="109"/>
      <c r="G17" s="118"/>
      <c r="H17" s="109"/>
      <c r="I17" s="9">
        <v>4001</v>
      </c>
      <c r="J17" s="10" t="s">
        <v>17</v>
      </c>
      <c r="K17" s="11">
        <v>10000</v>
      </c>
      <c r="L17" s="16">
        <v>365</v>
      </c>
    </row>
    <row r="18" spans="6:12">
      <c r="F18" s="110"/>
      <c r="G18" s="119"/>
      <c r="H18" s="110"/>
      <c r="I18" s="12">
        <v>10001</v>
      </c>
      <c r="J18" s="13" t="s">
        <v>17</v>
      </c>
      <c r="K18" s="14">
        <v>9.9999999999999902E+19</v>
      </c>
      <c r="L18" s="17">
        <v>390</v>
      </c>
    </row>
    <row r="19" spans="6:12">
      <c r="F19" s="6" t="s">
        <v>13</v>
      </c>
      <c r="G19" s="8">
        <v>200</v>
      </c>
      <c r="H19" s="24">
        <v>17620</v>
      </c>
      <c r="I19" s="22">
        <v>201</v>
      </c>
      <c r="J19" s="8" t="s">
        <v>17</v>
      </c>
      <c r="K19" s="23">
        <v>9.9999999999999902E+19</v>
      </c>
      <c r="L19" s="5">
        <v>100</v>
      </c>
    </row>
    <row r="20" spans="6:12">
      <c r="F20" s="24" t="s">
        <v>20</v>
      </c>
      <c r="G20" s="8">
        <v>40</v>
      </c>
      <c r="H20" s="24">
        <v>15860</v>
      </c>
      <c r="I20" s="22">
        <v>41</v>
      </c>
      <c r="J20" s="8" t="s">
        <v>17</v>
      </c>
      <c r="K20" s="23">
        <v>9.9999999999999902E+19</v>
      </c>
      <c r="L20" s="5">
        <v>395</v>
      </c>
    </row>
    <row r="23" spans="6:12">
      <c r="F23" s="103"/>
      <c r="G23" s="103"/>
      <c r="H23" s="103"/>
      <c r="I23" s="103"/>
      <c r="J23" s="103"/>
      <c r="K23" s="103"/>
      <c r="L23" s="103"/>
    </row>
    <row r="24" spans="6:12">
      <c r="F24" s="5"/>
      <c r="G24" s="104" t="s">
        <v>10</v>
      </c>
      <c r="H24" s="105"/>
      <c r="I24" s="105" t="s">
        <v>8</v>
      </c>
      <c r="J24" s="105"/>
      <c r="K24" s="105"/>
      <c r="L24" s="105"/>
    </row>
    <row r="25" spans="6:12">
      <c r="F25" s="5" t="s">
        <v>26</v>
      </c>
      <c r="G25" s="7" t="s">
        <v>18</v>
      </c>
      <c r="H25" s="6" t="s">
        <v>19</v>
      </c>
      <c r="I25" s="106" t="s">
        <v>18</v>
      </c>
      <c r="J25" s="107"/>
      <c r="K25" s="104"/>
      <c r="L25" s="6" t="s">
        <v>19</v>
      </c>
    </row>
    <row r="26" spans="6:12">
      <c r="F26" s="108" t="s">
        <v>28</v>
      </c>
      <c r="G26" s="111">
        <v>20</v>
      </c>
      <c r="H26" s="108">
        <v>1400</v>
      </c>
      <c r="I26" s="19">
        <v>21</v>
      </c>
      <c r="J26" s="18" t="s">
        <v>17</v>
      </c>
      <c r="K26" s="20">
        <v>40</v>
      </c>
      <c r="L26" s="21">
        <v>70</v>
      </c>
    </row>
    <row r="27" spans="6:12">
      <c r="F27" s="109"/>
      <c r="G27" s="112"/>
      <c r="H27" s="109"/>
      <c r="I27" s="9">
        <v>41</v>
      </c>
      <c r="J27" s="10" t="s">
        <v>17</v>
      </c>
      <c r="K27" s="11">
        <v>60</v>
      </c>
      <c r="L27" s="16">
        <v>75</v>
      </c>
    </row>
    <row r="28" spans="6:12">
      <c r="F28" s="109"/>
      <c r="G28" s="112"/>
      <c r="H28" s="109"/>
      <c r="I28" s="9">
        <v>61</v>
      </c>
      <c r="J28" s="10" t="s">
        <v>17</v>
      </c>
      <c r="K28" s="11">
        <v>100</v>
      </c>
      <c r="L28" s="16">
        <v>90</v>
      </c>
    </row>
    <row r="29" spans="6:12">
      <c r="F29" s="109"/>
      <c r="G29" s="112"/>
      <c r="H29" s="109"/>
      <c r="I29" s="9">
        <v>101</v>
      </c>
      <c r="J29" s="10" t="s">
        <v>17</v>
      </c>
      <c r="K29" s="11">
        <v>200</v>
      </c>
      <c r="L29" s="16">
        <v>100</v>
      </c>
    </row>
    <row r="30" spans="6:12">
      <c r="F30" s="109"/>
      <c r="G30" s="112"/>
      <c r="H30" s="109"/>
      <c r="I30" s="9">
        <v>201</v>
      </c>
      <c r="J30" s="10" t="s">
        <v>17</v>
      </c>
      <c r="K30" s="11">
        <v>1000</v>
      </c>
      <c r="L30" s="16">
        <v>120</v>
      </c>
    </row>
    <row r="31" spans="6:12">
      <c r="F31" s="109"/>
      <c r="G31" s="112"/>
      <c r="H31" s="109"/>
      <c r="I31" s="9">
        <v>1001</v>
      </c>
      <c r="J31" s="10" t="s">
        <v>17</v>
      </c>
      <c r="K31" s="11">
        <v>2000</v>
      </c>
      <c r="L31" s="16">
        <v>125</v>
      </c>
    </row>
    <row r="32" spans="6:12">
      <c r="F32" s="109"/>
      <c r="G32" s="112"/>
      <c r="H32" s="109"/>
      <c r="I32" s="9">
        <v>2001</v>
      </c>
      <c r="J32" s="10" t="s">
        <v>17</v>
      </c>
      <c r="K32" s="11">
        <v>10000</v>
      </c>
      <c r="L32" s="16">
        <v>135</v>
      </c>
    </row>
    <row r="33" spans="6:12">
      <c r="F33" s="109"/>
      <c r="G33" s="112"/>
      <c r="H33" s="109"/>
      <c r="I33" s="9">
        <v>10001</v>
      </c>
      <c r="J33" s="10" t="s">
        <v>17</v>
      </c>
      <c r="K33" s="11">
        <v>20000</v>
      </c>
      <c r="L33" s="16">
        <v>160</v>
      </c>
    </row>
    <row r="34" spans="6:12">
      <c r="F34" s="110"/>
      <c r="G34" s="113"/>
      <c r="H34" s="110"/>
      <c r="I34" s="12">
        <v>20001</v>
      </c>
      <c r="J34" s="13" t="s">
        <v>17</v>
      </c>
      <c r="K34" s="14">
        <v>9.9999999999999902E+19</v>
      </c>
      <c r="L34" s="17">
        <v>175</v>
      </c>
    </row>
    <row r="35" spans="6:12">
      <c r="F35" s="100" t="s">
        <v>29</v>
      </c>
      <c r="G35" s="101"/>
      <c r="H35" s="102"/>
      <c r="I35" s="12">
        <v>1</v>
      </c>
      <c r="J35" s="13" t="s">
        <v>17</v>
      </c>
      <c r="K35" s="14">
        <v>9.9999999999999902E+19</v>
      </c>
      <c r="L35" s="17">
        <v>30</v>
      </c>
    </row>
    <row r="39" spans="6:12">
      <c r="H39" s="2"/>
    </row>
  </sheetData>
  <mergeCells count="21">
    <mergeCell ref="F2:L2"/>
    <mergeCell ref="I3:L3"/>
    <mergeCell ref="G3:H3"/>
    <mergeCell ref="I4:K4"/>
    <mergeCell ref="F5:F10"/>
    <mergeCell ref="G5:G10"/>
    <mergeCell ref="H5:H10"/>
    <mergeCell ref="F11:F13"/>
    <mergeCell ref="G11:G13"/>
    <mergeCell ref="H11:H13"/>
    <mergeCell ref="F14:F18"/>
    <mergeCell ref="G14:G18"/>
    <mergeCell ref="H14:H18"/>
    <mergeCell ref="F35:H35"/>
    <mergeCell ref="F23:L23"/>
    <mergeCell ref="G24:H24"/>
    <mergeCell ref="I24:L24"/>
    <mergeCell ref="I25:K25"/>
    <mergeCell ref="F26:F34"/>
    <mergeCell ref="G26:G34"/>
    <mergeCell ref="H26:H34"/>
  </mergeCells>
  <phoneticPr fontId="3"/>
  <dataValidations count="1">
    <dataValidation imeMode="off" allowBlank="1" showInputMessage="1" showErrorMessage="1" sqref="C2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P46"/>
  <sheetViews>
    <sheetView view="pageBreakPreview" topLeftCell="A16" zoomScaleNormal="100" zoomScaleSheetLayoutView="100" workbookViewId="0">
      <selection activeCell="F20" sqref="F20"/>
    </sheetView>
  </sheetViews>
  <sheetFormatPr defaultRowHeight="13.5"/>
  <cols>
    <col min="1" max="1" width="0.75" style="27" customWidth="1"/>
    <col min="2" max="2" width="5.625" style="26" customWidth="1"/>
    <col min="3" max="3" width="20.5" style="27" customWidth="1"/>
    <col min="4" max="4" width="8.375" style="27" customWidth="1"/>
    <col min="5" max="5" width="13.125" style="27" customWidth="1"/>
    <col min="6" max="6" width="59.5" style="27" customWidth="1"/>
    <col min="7" max="7" width="17.25" style="27" customWidth="1"/>
    <col min="8" max="8" width="4.375" style="27" customWidth="1"/>
    <col min="9" max="9" width="4.875" style="27" hidden="1" customWidth="1"/>
    <col min="10" max="10" width="9.625" style="27" hidden="1" customWidth="1"/>
    <col min="11" max="11" width="4.75" style="27" hidden="1" customWidth="1"/>
    <col min="12" max="12" width="9.625" style="27" hidden="1" customWidth="1"/>
    <col min="13" max="13" width="6.75" style="27" hidden="1" customWidth="1"/>
    <col min="14" max="14" width="0" style="27" hidden="1" customWidth="1"/>
    <col min="15" max="16" width="9.875" style="27" hidden="1" customWidth="1"/>
    <col min="17" max="16384" width="9" style="27"/>
  </cols>
  <sheetData>
    <row r="1" spans="1:16">
      <c r="A1" s="70"/>
      <c r="B1" s="71">
        <v>1</v>
      </c>
      <c r="C1" s="70"/>
      <c r="D1" s="70"/>
      <c r="E1" s="70"/>
      <c r="F1" s="70"/>
      <c r="G1" s="70"/>
      <c r="H1" s="70"/>
      <c r="I1" s="27" t="str">
        <f>IF(D4="集合家事用（アパート、マンション等）","家事用",IF(D4="集合営業用（スーパー等）","営業用・官公署用",""))</f>
        <v>家事用</v>
      </c>
    </row>
    <row r="2" spans="1:16" ht="21">
      <c r="A2" s="70"/>
      <c r="B2" s="71">
        <v>2</v>
      </c>
      <c r="C2" s="97" t="s">
        <v>45</v>
      </c>
      <c r="D2" s="70"/>
      <c r="E2" s="70"/>
      <c r="F2" s="70"/>
      <c r="G2" s="70"/>
      <c r="H2" s="70"/>
      <c r="I2" s="27">
        <f>ROUNDDOWN(親メーター使用水量/戸数,0)</f>
        <v>29</v>
      </c>
    </row>
    <row r="3" spans="1:16" ht="14.25" thickBot="1">
      <c r="A3" s="70"/>
      <c r="B3" s="71">
        <v>3</v>
      </c>
      <c r="C3" s="70"/>
      <c r="D3" s="70"/>
      <c r="E3" s="70"/>
      <c r="F3" s="70"/>
      <c r="G3" s="70"/>
      <c r="H3" s="70"/>
      <c r="I3" s="27">
        <f>親メーター使用水量-(戸数*集合用途割数)</f>
        <v>22</v>
      </c>
    </row>
    <row r="4" spans="1:16" ht="26.25" customHeight="1" thickBot="1">
      <c r="A4" s="70"/>
      <c r="B4" s="71"/>
      <c r="C4" s="70" t="s">
        <v>46</v>
      </c>
      <c r="D4" s="127" t="s">
        <v>56</v>
      </c>
      <c r="E4" s="128"/>
      <c r="F4" s="70"/>
      <c r="G4" s="70"/>
      <c r="H4" s="70"/>
    </row>
    <row r="5" spans="1:16" ht="9" customHeight="1" thickBot="1">
      <c r="A5" s="70"/>
      <c r="B5" s="71"/>
      <c r="C5" s="70"/>
      <c r="D5" s="70"/>
      <c r="E5" s="70"/>
      <c r="F5" s="70"/>
      <c r="G5" s="70"/>
      <c r="H5" s="70"/>
    </row>
    <row r="6" spans="1:16" ht="14.25" thickBot="1">
      <c r="A6" s="70"/>
      <c r="B6" s="71">
        <v>4</v>
      </c>
      <c r="C6" s="70" t="s">
        <v>35</v>
      </c>
      <c r="D6" s="67">
        <v>32</v>
      </c>
      <c r="E6" s="70" t="s">
        <v>47</v>
      </c>
      <c r="F6" s="72"/>
      <c r="G6" s="73"/>
      <c r="H6" s="73"/>
    </row>
    <row r="7" spans="1:16" ht="7.5" customHeight="1" thickBot="1">
      <c r="A7" s="70"/>
      <c r="B7" s="71">
        <v>5</v>
      </c>
      <c r="C7" s="70"/>
      <c r="D7" s="74"/>
      <c r="E7" s="70"/>
      <c r="F7" s="70"/>
      <c r="G7" s="70"/>
      <c r="H7" s="70"/>
    </row>
    <row r="8" spans="1:16" ht="14.25" thickBot="1">
      <c r="A8" s="70"/>
      <c r="B8" s="71">
        <v>6</v>
      </c>
      <c r="C8" s="70" t="s">
        <v>36</v>
      </c>
      <c r="D8" s="68">
        <v>950</v>
      </c>
      <c r="E8" s="70" t="s">
        <v>48</v>
      </c>
      <c r="F8" s="70"/>
      <c r="G8" s="70"/>
      <c r="H8" s="70"/>
    </row>
    <row r="9" spans="1:16">
      <c r="A9" s="70"/>
      <c r="B9" s="71">
        <v>7</v>
      </c>
      <c r="C9" s="70"/>
      <c r="D9" s="70"/>
      <c r="E9" s="70"/>
      <c r="F9" s="70"/>
      <c r="G9" s="70"/>
      <c r="H9" s="70"/>
      <c r="L9" s="27" t="str">
        <f ca="1">IF(親メーター使用水量/戸数&lt;=INDIRECT(集合用途&amp;"基本料金"),"",OFFSET(テーブル1[[#Headers],[単価]],MATCH("○",テーブル1[作業列2],0),0) &amp; "円　×　" &amp; MOD(親メーター使用水量,戸数) &amp; "㎥　=　" &amp; OFFSET(テーブル1[[#Headers],[単価]],MATCH("○",テーブル1[作業列2],0),0)*MOD(親メーター使用水量,戸数) &amp; "円")</f>
        <v/>
      </c>
      <c r="M9" s="27" t="b">
        <f ca="1">ISERROR(OFFSET(テーブル1[[#Headers],[単価]],MATCH("○",テーブル1[作業列2],0),0))</f>
        <v>0</v>
      </c>
      <c r="N9" s="27">
        <f ca="1">INDIRECT(集合用途&amp;"基本水量")</f>
        <v>10</v>
      </c>
    </row>
    <row r="10" spans="1:16">
      <c r="A10" s="70"/>
      <c r="B10" s="71">
        <v>8</v>
      </c>
      <c r="C10" s="75" t="str">
        <f>"※　" &amp; 親メーター使用水量 &amp; "　÷　" &amp; 戸数 &amp; "戸　≒　" &amp; (親メーター使用水量/戸数) &amp; "㎥（１戸あたり）"</f>
        <v>※　950　÷　32戸　≒　29.6875㎥（１戸あたり）</v>
      </c>
      <c r="D10" s="70"/>
      <c r="E10" s="70"/>
      <c r="F10" s="70"/>
      <c r="G10" s="70"/>
      <c r="H10" s="70"/>
    </row>
    <row r="11" spans="1:16" ht="8.25" customHeight="1">
      <c r="A11" s="70"/>
      <c r="B11" s="71">
        <v>9</v>
      </c>
      <c r="C11" s="70"/>
      <c r="D11" s="70"/>
      <c r="E11" s="70"/>
      <c r="F11" s="70"/>
      <c r="G11" s="70"/>
      <c r="H11" s="70"/>
    </row>
    <row r="12" spans="1:16" ht="7.5" customHeight="1" thickBot="1">
      <c r="A12" s="70"/>
      <c r="B12" s="71">
        <v>10</v>
      </c>
      <c r="C12" s="70"/>
      <c r="D12" s="70"/>
      <c r="E12" s="70"/>
      <c r="F12" s="70"/>
      <c r="G12" s="70"/>
      <c r="H12" s="70"/>
    </row>
    <row r="13" spans="1:16" ht="26.1" customHeight="1">
      <c r="A13" s="70"/>
      <c r="B13" s="71">
        <v>11</v>
      </c>
      <c r="C13" s="129" t="s">
        <v>37</v>
      </c>
      <c r="D13" s="76" t="s">
        <v>38</v>
      </c>
      <c r="E13" s="77"/>
      <c r="F13" s="78" t="s">
        <v>39</v>
      </c>
      <c r="G13" s="79" t="s">
        <v>40</v>
      </c>
      <c r="H13" s="80"/>
      <c r="J13" s="30" t="s">
        <v>49</v>
      </c>
      <c r="K13" s="30" t="s">
        <v>50</v>
      </c>
      <c r="L13" s="30" t="s">
        <v>51</v>
      </c>
      <c r="M13" s="30" t="s">
        <v>52</v>
      </c>
      <c r="N13" s="30" t="s">
        <v>53</v>
      </c>
      <c r="O13" s="30" t="s">
        <v>54</v>
      </c>
      <c r="P13" s="30" t="s">
        <v>55</v>
      </c>
    </row>
    <row r="14" spans="1:16" ht="26.1" customHeight="1">
      <c r="A14" s="70"/>
      <c r="B14" s="71">
        <v>12</v>
      </c>
      <c r="C14" s="130"/>
      <c r="D14" s="132" t="str">
        <f>ROUNDDOWN(親メーター使用水量/戸数,0) &amp; "㎥" &amp; "　×　" &amp; 戸数 &amp; "戸　=　" &amp; ROUNDDOWN(親メーター使用水量/戸数,0)*戸数 &amp; "㎥"</f>
        <v>29㎥　×　32戸　=　928㎥</v>
      </c>
      <c r="E14" s="133"/>
      <c r="F14" s="81" t="str">
        <f ca="1">"（（" &amp; TEXT(INDIRECT(集合用途&amp;"基本料金"),"###,###") &amp; "円(基本料金)＋" &amp; TEXT(SUM(N14:N19),"###,###0") &amp; "円（超過料金))　×　" &amp; 戸数 &amp; "戸　＝" &amp; TEXT((INDIRECT(集合用途&amp;"基本料金")+SUM(N14:N19))*戸数,"#,###円")</f>
        <v>（（3,200円(基本料金)＋2,190円（超過料金))　×　32戸　＝172,480円</v>
      </c>
      <c r="G14" s="82">
        <f ca="1">ROUNDDOWN(F16*(消費税率/100),0)</f>
        <v>17710</v>
      </c>
      <c r="H14" s="83"/>
      <c r="J14" s="25">
        <f ca="1">IF(ISERROR(INDIRECT(集合用途 &amp; "一段階始"))=TRUE,"",INDIRECT(集合用途 &amp; "一段階始"))</f>
        <v>11</v>
      </c>
      <c r="K14" s="1" t="str">
        <f ca="1">IF(ISERROR(INDIRECT(用途 &amp; "一段階始"))=TRUE,"","～")</f>
        <v>～</v>
      </c>
      <c r="L14" s="25">
        <f ca="1">IF(ISERROR(INDIRECT(集合用途 &amp; "一段階終"))=TRUE,"",IF(INDIRECT(集合用途 &amp; "一段階終")=99999999999999900000,"",INDIRECT(集合用途 &amp; "一段階終")))</f>
        <v>20</v>
      </c>
      <c r="M14" s="25">
        <f ca="1">IF(ISERROR(INDIRECT(集合用途&amp;"一段階超過料金"))=TRUE,"",INDIRECT(集合用途&amp;"一段階超過料金"))</f>
        <v>30</v>
      </c>
      <c r="N14" s="1">
        <f ca="1">IF(ISERROR(INDIRECT(集合用途&amp;"一段階超過料金"))=TRUE,"",IF(集合用途一段階始&gt;集合用途割数,0,IF(集合用途一段階終&lt;集合用途割数,(集合用途一段階終-集合用途一段階始+1)*INDIRECT(集合用途 &amp; "一段階超過料金"),(集合用途割数-集合用途一段階始+1)*INDIRECT(集合用途 &amp; "一段階超過料金"))))</f>
        <v>300</v>
      </c>
      <c r="O14" s="27">
        <f ca="1">(集合用途一段階終-集合用途一段階始+1)*M14</f>
        <v>300</v>
      </c>
      <c r="P14" s="32" t="str">
        <f ca="1">IF(AND(集合用途割数=集合用途一段階始-1,集合用途端数&gt;0),"○",IF(テーブル1[[#This Row],[累積]]=0,"×",IF(テーブル1[[#This Row],[累積]]=テーブル1[[#This Row],[作業列1]],"×","○")))</f>
        <v>×</v>
      </c>
    </row>
    <row r="15" spans="1:16" ht="26.1" customHeight="1">
      <c r="A15" s="70"/>
      <c r="B15" s="71">
        <v>13</v>
      </c>
      <c r="C15" s="130"/>
      <c r="D15" s="132" t="str">
        <f>"余り" &amp; MOD(親メーター使用水量,戸数) &amp; "㎥"</f>
        <v>余り22㎥</v>
      </c>
      <c r="E15" s="133"/>
      <c r="F15" s="84" t="str">
        <f ca="1">IF(ISERROR(OFFSET(テーブル1[[#Headers],[単価]],MATCH("○",テーブル1[作業列2],0),0)),"基本料金内",OFFSET(テーブル1[[#Headers],[単価]],MATCH("○",テーブル1[作業列2],0),0) &amp; "円　×　" &amp; MOD(親メーター使用水量,戸数) &amp; "㎥　=　" &amp; TEXT(OFFSET(テーブル1[[#Headers],[単価]],MATCH("○",テーブル1[作業列2],0),0)*MOD(親メーター使用水量,戸数),"#,###円"))</f>
        <v>210円　×　22㎥　=　4,620円</v>
      </c>
      <c r="G15" s="85" t="s">
        <v>41</v>
      </c>
      <c r="H15" s="74"/>
      <c r="I15" s="28"/>
      <c r="J15" s="25">
        <f ca="1">IF(ISERROR(INDIRECT(集合用途 &amp; "二段階始"))=TRUE,"",INDIRECT(集合用途 &amp; "二段階始"))</f>
        <v>21</v>
      </c>
      <c r="K15" s="1" t="str">
        <f ca="1">IF(ISERROR(INDIRECT(用途 &amp; "二段階始"))=TRUE,"","～")</f>
        <v>～</v>
      </c>
      <c r="L15" s="25">
        <f ca="1">IF(ISERROR(INDIRECT(集合用途 &amp; "二段階終"))=TRUE,"",IF(INDIRECT(集合用途 &amp; "二段階終")=99999999999999900000,"",INDIRECT(集合用途 &amp; "二段階終")))</f>
        <v>40</v>
      </c>
      <c r="M15" s="25">
        <f ca="1">IF(ISERROR(INDIRECT(集合用途&amp;"二段階超過料金"))=TRUE,"",INDIRECT(集合用途&amp;"二段階超過料金"))</f>
        <v>210</v>
      </c>
      <c r="N15" s="1">
        <f ca="1">IF(ISERROR(INDIRECT(集合用途&amp;"二段階超過料金"))=TRUE,"",IF(集合用途二段階始&gt;集合用途割数,0,IF(集合用途二段階終&lt;集合用途割数,(集合用途二段階終-集合用途二段階始+1)*INDIRECT(集合用途&amp;"二段階超過料金"),(集合用途割数-集合用途二段階始+1)*INDIRECT(集合用途&amp;"二段階超過料金"))))</f>
        <v>1890</v>
      </c>
      <c r="O15" s="27">
        <f ca="1">(集合用途二段階終-集合用途二段階始+1)*M15</f>
        <v>4200</v>
      </c>
      <c r="P15" s="32" t="str">
        <f ca="1">IF(AND(集合用途割数=集合用途二段階始-1,集合用途端数&gt;0),"○",IF(テーブル1[[#This Row],[累積]]=0,"×",IF(テーブル1[[#This Row],[累積]]=テーブル1[[#This Row],[作業列1]],"×","○")))</f>
        <v>○</v>
      </c>
    </row>
    <row r="16" spans="1:16" ht="26.1" customHeight="1" thickBot="1">
      <c r="A16" s="70"/>
      <c r="B16" s="71">
        <v>14</v>
      </c>
      <c r="C16" s="131"/>
      <c r="D16" s="125" t="str">
        <f>"合計　" &amp; 親メーター使用水量 &amp; "㎥"</f>
        <v>合計　950㎥</v>
      </c>
      <c r="E16" s="126"/>
      <c r="F16" s="86">
        <f ca="1">((INDIRECT(集合用途&amp;"基本料金")+SUM(テーブル1[累積]))*戸数)+IF(ISERROR(OFFSET(テーブル1[[#Headers],[単価]],MATCH("○",テーブル1[作業列2],0),0)),0,OFFSET(テーブル1[[#Headers],[単価]],MATCH("○",テーブル1[作業列2],0),0)*MOD(親メーター使用水量,戸数))</f>
        <v>177100</v>
      </c>
      <c r="G16" s="87">
        <f ca="1">F16+G14</f>
        <v>194810</v>
      </c>
      <c r="H16" s="83"/>
      <c r="J16" s="25">
        <f ca="1">IF(ISERROR(INDIRECT(集合用途 &amp; "三段階始"))=TRUE,"",INDIRECT(集合用途 &amp; "三段階始"))</f>
        <v>41</v>
      </c>
      <c r="K16" s="1" t="str">
        <f ca="1">IF(ISERROR(INDIRECT(用途 &amp; "三段階始"))=TRUE,"","～")</f>
        <v>～</v>
      </c>
      <c r="L16" s="25">
        <f ca="1">IF(ISERROR(INDIRECT(集合用途 &amp; "三段階終"))=TRUE,"",IF(INDIRECT(集合用途 &amp; "三段階終")=99999999999999900000,"",INDIRECT(集合用途 &amp; "三段階終")))</f>
        <v>60</v>
      </c>
      <c r="M16" s="25">
        <f ca="1">IF(ISERROR(INDIRECT(集合用途&amp;"三段階超過料金"))=TRUE,"",INDIRECT(集合用途&amp;"三段階超過料金"))</f>
        <v>240</v>
      </c>
      <c r="N16" s="1">
        <f ca="1">IF(ISERROR(INDIRECT(集合用途&amp;"三段階超過料金"))=TRUE,"",IF(集合用途三段階始&gt;集合用途割数,0,IF(集合用途三段階終&lt;集合用途割数,(集合用途三段階終-集合用途三段階始+1)*INDIRECT(集合用途&amp;"三段階超過料金"),(集合用途割数-集合用途三段階始+1)*INDIRECT(集合用途&amp;"三段階超過料金"))))</f>
        <v>0</v>
      </c>
      <c r="O16" s="27">
        <f ca="1">(集合用途三段階終-集合用途三段階始+1)*M16</f>
        <v>4800</v>
      </c>
      <c r="P16" s="32" t="str">
        <f ca="1">IF(AND(集合用途割数=集合用途三段階始-1,集合用途端数&gt;0),"○",IF(テーブル1[[#This Row],[累積]]=0,"×",IF(テーブル1[[#This Row],[累積]]=テーブル1[[#This Row],[作業列1]],"×","○")))</f>
        <v>×</v>
      </c>
    </row>
    <row r="17" spans="1:16" ht="26.1" customHeight="1">
      <c r="A17" s="70"/>
      <c r="B17" s="71">
        <v>15</v>
      </c>
      <c r="C17" s="134" t="s">
        <v>42</v>
      </c>
      <c r="D17" s="88" t="s">
        <v>38</v>
      </c>
      <c r="E17" s="89"/>
      <c r="F17" s="90" t="s">
        <v>39</v>
      </c>
      <c r="G17" s="91" t="s">
        <v>43</v>
      </c>
      <c r="H17" s="80"/>
      <c r="J17" s="25">
        <f ca="1">IF(ISERROR(INDIRECT(集合用途 &amp; "四段階始"))=TRUE,"",INDIRECT(集合用途 &amp; "四段階始"))</f>
        <v>61</v>
      </c>
      <c r="K17" s="1" t="str">
        <f ca="1">IF(ISERROR(INDIRECT(用途 &amp; "四段階始"))=TRUE,"","～")</f>
        <v/>
      </c>
      <c r="L17" s="25">
        <f ca="1">IF(ISERROR(INDIRECT(集合用途 &amp; "四段階終"))=TRUE,"",IF(INDIRECT(集合用途 &amp; "四段階終")=99999999999999900000,"",INDIRECT(集合用途 &amp; "四段階終")))</f>
        <v>100</v>
      </c>
      <c r="M17" s="25">
        <f ca="1">IF(ISERROR(INDIRECT(集合用途&amp;"四段階超過料金"))=TRUE,"",INDIRECT(集合用途&amp;"四段階超過料金"))</f>
        <v>265</v>
      </c>
      <c r="N17" s="29" t="str">
        <f ca="1">IF(ISERROR(INDIRECT(用途&amp;"四段階超過料金"))=TRUE,"",IF(集合用途四段階始&gt;集合用途割数,0,IF(集合用途四段階終&lt;集合用途割数,(集合用途四段階終-集合用途四段階始+1)*INDIRECT(用途&amp;"四段階超過料金"),(集合用途割数-集合用途四段階始+1)*INDIRECT(用途&amp;"四段階超過料金"))))</f>
        <v/>
      </c>
      <c r="O17" s="27">
        <f ca="1">(集合用途四段階終-集合用途四段階始+1)*M17</f>
        <v>10600</v>
      </c>
      <c r="P17" s="32" t="str">
        <f ca="1">IF(AND(集合用途割数=集合用途四段階始-1,集合用途端数&gt;0),"○",IF(テーブル1[[#This Row],[累積]]=0,"×",IF(テーブル1[[#This Row],[累積]]=テーブル1[[#This Row],[作業列1]],"×","○")))</f>
        <v>○</v>
      </c>
    </row>
    <row r="18" spans="1:16" ht="26.1" customHeight="1">
      <c r="A18" s="70"/>
      <c r="B18" s="71">
        <v>16</v>
      </c>
      <c r="C18" s="130"/>
      <c r="D18" s="132" t="str">
        <f>ROUNDDOWN(親メーター使用水量/戸数,0) &amp; "㎥" &amp; "　×　" &amp; 戸数 &amp; "戸　=　" &amp; ROUNDDOWN(親メーター使用水量/戸数,0)*戸数 &amp; "㎥"</f>
        <v>29㎥　×　32戸　=　928㎥</v>
      </c>
      <c r="E18" s="133"/>
      <c r="F18" s="92" t="str">
        <f>"（（" &amp; TEXT(一般汚水基本料金,"###,###") &amp; "円(基本料金)＋" &amp; TEXT(SUM(テーブル2[累積]),"###,###0") &amp; "円（超過料金))　×　" &amp; 戸数 &amp; "戸　＝" &amp; TEXT((一般汚水基本料金+SUM(テーブル2[累積]))*戸数,"###,###") &amp; "円"</f>
        <v>（（1,400円(基本料金)＋630円（超過料金))　×　32戸　＝64,960円</v>
      </c>
      <c r="G18" s="82">
        <f ca="1">ROUNDDOWN(F20*(消費税率/100),0)</f>
        <v>6650</v>
      </c>
      <c r="H18" s="83"/>
      <c r="J18" s="25">
        <f ca="1">IF(ISERROR(INDIRECT(集合用途 &amp; "五段階始"))=TRUE,"",INDIRECT(集合用途 &amp; "五段階始"))</f>
        <v>101</v>
      </c>
      <c r="K18" s="1" t="str">
        <f ca="1">IF(ISERROR(INDIRECT(用途 &amp; "五段階始"))=TRUE,"","～")</f>
        <v/>
      </c>
      <c r="L18" s="25">
        <f ca="1">IF(ISERROR(INDIRECT(集合用途 &amp; "五段階終"))=TRUE,"",IF(INDIRECT(集合用途 &amp; "五段階終")=99999999999999900000,"",INDIRECT(集合用途 &amp; "五段階終")))</f>
        <v>200</v>
      </c>
      <c r="M18" s="25">
        <f ca="1">IF(ISERROR(INDIRECT(集合用途&amp;"五段階超過料金"))=TRUE,"",INDIRECT(集合用途&amp;"五段階超過料金"))</f>
        <v>290</v>
      </c>
      <c r="N18" s="29" t="str">
        <f ca="1">IF(ISERROR(INDIRECT(用途&amp;"五段階超過料金"))=TRUE,"",IF(集合用途五段階始&gt;集合用途割数,0,IF(集合用途五段階終&lt;集合用途割数,(集合用途五段階終-集合用途五段階始+1)*INDIRECT(用途&amp;"五段階超過料金"),(集合用途割数-集合用途五段階始+1)*INDIRECT(用途&amp;"五段階超過料金"))))</f>
        <v/>
      </c>
      <c r="O18" s="27">
        <f ca="1">(集合用途五段階終-集合用途五段階始+1)*M18</f>
        <v>29000</v>
      </c>
      <c r="P18" s="32" t="str">
        <f ca="1">IF(AND(集合用途割数=集合用途五段階始-1,集合用途端数&gt;0),"○",IF(テーブル1[[#This Row],[累積]]=0,"×",IF(テーブル1[[#This Row],[累積]]=テーブル1[[#This Row],[作業列1]],"×","○")))</f>
        <v>○</v>
      </c>
    </row>
    <row r="19" spans="1:16" ht="26.1" customHeight="1">
      <c r="A19" s="70"/>
      <c r="B19" s="71">
        <v>17</v>
      </c>
      <c r="C19" s="130"/>
      <c r="D19" s="132" t="str">
        <f>"余り" &amp; MOD(親メーター使用水量,戸数) &amp; "㎥"</f>
        <v>余り22㎥</v>
      </c>
      <c r="E19" s="133"/>
      <c r="F19" s="81" t="str">
        <f ca="1">IF(ISERROR(OFFSET(テーブル2[[#Headers],[単価]],MATCH("○",テーブル2[作業列2],0),0)),"基本料金内",OFFSET(テーブル2[[#Headers],[単価]],MATCH("○",テーブル2[作業列2],0),0) &amp; "円　×　" &amp; MOD(親メーター使用水量,戸数) &amp; "㎥　=　" &amp; TEXT(OFFSET(テーブル2[[#Headers],[単価]],MATCH("○",テーブル2[作業列2],0),0)*MOD(親メーター使用水量,戸数),"#,###円"))</f>
        <v>70円　×　22㎥　=　1,540円</v>
      </c>
      <c r="G19" s="85" t="s">
        <v>41</v>
      </c>
      <c r="H19" s="74"/>
      <c r="J19" s="25">
        <f ca="1">IF(ISERROR(INDIRECT(集合用途 &amp; "六段階始"))=TRUE,"",INDIRECT(集合用途 &amp; "六段階始"))</f>
        <v>201</v>
      </c>
      <c r="K19" s="1" t="str">
        <f ca="1">IF(ISERROR(INDIRECT(用途 &amp; "六段階始"))=TRUE,"","～")</f>
        <v/>
      </c>
      <c r="L19" s="25" t="str">
        <f ca="1">IF(ISERROR(INDIRECT(集合用途 &amp; "六段階終"))=TRUE,"",IF(INDIRECT(集合用途 &amp; "六段階終")=99999999999999900000,"",INDIRECT(集合用途 &amp; "六段階終")))</f>
        <v/>
      </c>
      <c r="M19" s="25">
        <f ca="1">IF(ISERROR(INDIRECT(集合用途&amp;"六段階超過料金"))=TRUE,"",INDIRECT(集合用途&amp;"六段階超過料金"))</f>
        <v>315</v>
      </c>
      <c r="N19" s="29" t="str">
        <f ca="1">IF(ISERROR(INDIRECT(用途&amp;"六段階超過料金"))=TRUE,"",IF(集合用途六段階始&gt;集合用途割数,0,IF(集合用途六段階終&lt;集合用途割数,(集合用途六段階終-集合用途六段階始+1)*INDIRECT(用途&amp;"六段階超過料金"),(集合用途割数-集合用途六段階始+1)*INDIRECT(用途&amp;"六段階超過料金"))))</f>
        <v/>
      </c>
      <c r="P19" s="32" t="str">
        <f ca="1">IF(AND(集合用途割数=集合用途六段階始-1,集合用途端数&gt;0),"○",IF(テーブル1[[#This Row],[累積]]=0,"×",IF(テーブル1[[#This Row],[累積]]=テーブル1[[#This Row],[作業列1]],"×","○")))</f>
        <v>×</v>
      </c>
    </row>
    <row r="20" spans="1:16" ht="26.1" customHeight="1" thickBot="1">
      <c r="A20" s="70"/>
      <c r="B20" s="71">
        <v>18</v>
      </c>
      <c r="C20" s="130"/>
      <c r="D20" s="125" t="str">
        <f>"合計　" &amp; 親メーター使用水量 &amp; "㎥"</f>
        <v>合計　950㎥</v>
      </c>
      <c r="E20" s="126"/>
      <c r="F20" s="93">
        <f ca="1">((INDIRECT("一般汚水基本料金")+SUM(テーブル2[累積]))*戸数)+IF(ISERROR(OFFSET(テーブル2[[#Headers],[単価]],MATCH("○",テーブル2[作業列2],0),0)),0,OFFSET(テーブル2[[#Headers],[単価]],MATCH("○",テーブル2[作業列2],0),0)*MOD(親メーター使用水量,戸数))</f>
        <v>66500</v>
      </c>
      <c r="G20" s="94">
        <f ca="1">F20+G18</f>
        <v>73150</v>
      </c>
      <c r="H20" s="83"/>
    </row>
    <row r="21" spans="1:16" ht="34.5" customHeight="1" thickBot="1">
      <c r="A21" s="70"/>
      <c r="B21" s="71">
        <v>19</v>
      </c>
      <c r="C21" s="123" t="s">
        <v>44</v>
      </c>
      <c r="D21" s="124"/>
      <c r="E21" s="124"/>
      <c r="F21" s="124"/>
      <c r="G21" s="95">
        <f ca="1">G16+G20</f>
        <v>267960</v>
      </c>
      <c r="H21" s="96"/>
    </row>
    <row r="22" spans="1:16">
      <c r="A22" s="70"/>
      <c r="B22" s="71">
        <v>20</v>
      </c>
      <c r="C22" s="70"/>
      <c r="D22" s="70"/>
      <c r="E22" s="70"/>
      <c r="F22" s="70"/>
      <c r="G22" s="70"/>
      <c r="H22" s="70"/>
    </row>
    <row r="23" spans="1:16" ht="20.100000000000001" customHeight="1"/>
    <row r="24" spans="1:16" ht="20.100000000000001" customHeight="1">
      <c r="J24" s="33" t="s">
        <v>49</v>
      </c>
      <c r="K24" s="34" t="s">
        <v>50</v>
      </c>
      <c r="L24" s="34" t="s">
        <v>51</v>
      </c>
      <c r="M24" s="34" t="s">
        <v>52</v>
      </c>
      <c r="N24" s="34" t="s">
        <v>53</v>
      </c>
      <c r="O24" s="34" t="s">
        <v>54</v>
      </c>
      <c r="P24" s="35" t="s">
        <v>55</v>
      </c>
    </row>
    <row r="25" spans="1:16" ht="20.100000000000001" customHeight="1">
      <c r="J25" s="27">
        <f>一般汚水一段階始</f>
        <v>21</v>
      </c>
      <c r="K25" s="31" t="str">
        <f t="shared" ref="K25:K33" ca="1" si="0">IF(ISERROR(INDIRECT(用途 &amp; "一段階始"))=TRUE,"","～")</f>
        <v>～</v>
      </c>
      <c r="L25" s="27">
        <f>一段階終下</f>
        <v>40</v>
      </c>
      <c r="M25" s="27">
        <f>マスタ!L26</f>
        <v>70</v>
      </c>
      <c r="N25" s="27">
        <f>IF(ISERROR(一般汚水一段階超過料金)=TRUE,"",IF(一段階始下&gt;集合用途割数,0,IF(一段階終下&lt;集合用途割数,(一段階終下-一段階始下+1)*一般汚水一段階超過料金,(集合用途割数-一段階始下+1)*一般汚水一段階超過料金)))</f>
        <v>630</v>
      </c>
      <c r="O25" s="27">
        <f>(テーブル2[[#This Row],[ランク終]]-テーブル2[[#This Row],[ランク始]]+1)*テーブル2[[#This Row],[単価]]</f>
        <v>1400</v>
      </c>
      <c r="P25" s="32" t="str">
        <f>IF(AND(集合用途割数=テーブル2[[#This Row],[ランク始]]-1,集合用途端数&gt;0),"○",IF(テーブル2[[#This Row],[累積]]=0,"×",IF(テーブル2[[#This Row],[累積]]=テーブル2[[#This Row],[作業列1]],"×","○")))</f>
        <v>○</v>
      </c>
    </row>
    <row r="26" spans="1:16" ht="20.100000000000001" customHeight="1">
      <c r="J26" s="27">
        <f>一般汚水二段階始</f>
        <v>41</v>
      </c>
      <c r="K26" s="31" t="str">
        <f t="shared" ca="1" si="0"/>
        <v>～</v>
      </c>
      <c r="L26" s="27">
        <f>二段階終下</f>
        <v>60</v>
      </c>
      <c r="M26" s="27">
        <f>マスタ!L27</f>
        <v>75</v>
      </c>
      <c r="N26" s="27">
        <f>IF(ISERROR(一般汚水二段階超過料金)=TRUE,"",IF(二段階始下&gt;集合用途割数,0,IF(二段階終下&lt;集合用途割数,(二段階終下-二段階始下+1)*一般汚水二段階超過料金,(集合用途割数-二段階始下+1)*一般汚水二段階超過料金)))</f>
        <v>0</v>
      </c>
      <c r="O26" s="27">
        <f>(テーブル2[[#This Row],[ランク終]]-テーブル2[[#This Row],[ランク始]]+1)*テーブル2[[#This Row],[単価]]</f>
        <v>1500</v>
      </c>
      <c r="P26" s="32" t="str">
        <f>IF(AND(集合用途割数=テーブル2[[#This Row],[ランク始]]-1,集合用途端数&gt;0),"○",IF(テーブル2[[#This Row],[累積]]=0,"×",IF(テーブル2[[#This Row],[累積]]=テーブル2[[#This Row],[作業列1]],"×","○")))</f>
        <v>×</v>
      </c>
    </row>
    <row r="27" spans="1:16" ht="20.100000000000001" customHeight="1">
      <c r="J27" s="27">
        <f>一般汚水三段階始</f>
        <v>61</v>
      </c>
      <c r="K27" s="31" t="str">
        <f t="shared" ca="1" si="0"/>
        <v>～</v>
      </c>
      <c r="L27" s="27">
        <f>三段階終下</f>
        <v>100</v>
      </c>
      <c r="M27" s="27">
        <f>マスタ!L28</f>
        <v>90</v>
      </c>
      <c r="N27" s="27">
        <f>IF(ISERROR(一般汚水三段階超過料金)=TRUE,"",IF(三段階始下&gt;集合用途割数,0,IF(三段階終下&lt;集合用途割数,(三段階終下-三段階始下+1)*一般汚水三段階超過料金,(集合用途割数-三段階始下+1)*一般汚水三段階超過料金)))</f>
        <v>0</v>
      </c>
      <c r="O27" s="27">
        <f>(テーブル2[[#This Row],[ランク終]]-テーブル2[[#This Row],[ランク始]]+1)*テーブル2[[#This Row],[単価]]</f>
        <v>3600</v>
      </c>
      <c r="P27" s="32" t="str">
        <f>IF(AND(集合用途割数=テーブル2[[#This Row],[ランク始]]-1,集合用途端数&gt;0),"○",IF(テーブル2[[#This Row],[累積]]=0,"×",IF(テーブル2[[#This Row],[累積]]=テーブル2[[#This Row],[作業列1]],"×","○")))</f>
        <v>×</v>
      </c>
    </row>
    <row r="28" spans="1:16" ht="20.100000000000001" customHeight="1">
      <c r="J28" s="27">
        <f>一般汚水四段階始</f>
        <v>101</v>
      </c>
      <c r="K28" s="31" t="str">
        <f t="shared" ca="1" si="0"/>
        <v>～</v>
      </c>
      <c r="L28" s="27">
        <f>四段階終下</f>
        <v>200</v>
      </c>
      <c r="M28" s="27">
        <f>マスタ!L29</f>
        <v>100</v>
      </c>
      <c r="N28" s="27">
        <f>IF(ISERROR(一般汚水四段階超過料金)=TRUE,"",IF(四段階始下&gt;集合用途割数,0,IF(四段階終下&lt;集合用途割数,(四段階終下-四段階始下+1)*一般汚水四段階超過料金,(集合用途割数-四段階始下+1)*一般汚水四段階超過料金)))</f>
        <v>0</v>
      </c>
      <c r="O28" s="27">
        <f>(テーブル2[[#This Row],[ランク終]]-テーブル2[[#This Row],[ランク始]]+1)*テーブル2[[#This Row],[単価]]</f>
        <v>10000</v>
      </c>
      <c r="P28" s="32" t="str">
        <f>IF(AND(集合用途割数=テーブル2[[#This Row],[ランク始]]-1,集合用途端数&gt;0),"○",IF(テーブル2[[#This Row],[累積]]=0,"×",IF(テーブル2[[#This Row],[累積]]=テーブル2[[#This Row],[作業列1]],"×","○")))</f>
        <v>×</v>
      </c>
    </row>
    <row r="29" spans="1:16" ht="20.100000000000001" customHeight="1">
      <c r="J29" s="27">
        <f>一般汚水五段階始</f>
        <v>201</v>
      </c>
      <c r="K29" s="31" t="str">
        <f t="shared" ca="1" si="0"/>
        <v>～</v>
      </c>
      <c r="L29" s="27">
        <f>五段階終下</f>
        <v>1000</v>
      </c>
      <c r="M29" s="27">
        <f>マスタ!L30</f>
        <v>120</v>
      </c>
      <c r="N29" s="27">
        <f>IF(ISERROR(一般汚水五段階超過料金)=TRUE,"",IF(五段階始下&gt;集合用途割数,0,IF(五段階終下&lt;集合用途割数,(五段階終下-五段階始下+1)*一般汚水五段階超過料金,(集合用途割数-五段階始下+1)*一般汚水五段階超過料金)))</f>
        <v>0</v>
      </c>
      <c r="O29" s="27">
        <f>(テーブル2[[#This Row],[ランク終]]-テーブル2[[#This Row],[ランク始]]+1)*テーブル2[[#This Row],[単価]]</f>
        <v>96000</v>
      </c>
      <c r="P29" s="32" t="str">
        <f>IF(AND(集合用途割数=テーブル2[[#This Row],[ランク始]]-1,集合用途端数&gt;0),"○",IF(テーブル2[[#This Row],[累積]]=0,"×",IF(テーブル2[[#This Row],[累積]]=テーブル2[[#This Row],[作業列1]],"×","○")))</f>
        <v>×</v>
      </c>
    </row>
    <row r="30" spans="1:16" ht="20.100000000000001" customHeight="1">
      <c r="J30" s="27">
        <f>一般汚水六段階始</f>
        <v>1001</v>
      </c>
      <c r="K30" s="31" t="str">
        <f t="shared" ca="1" si="0"/>
        <v>～</v>
      </c>
      <c r="L30" s="27">
        <f>六段階終下</f>
        <v>2000</v>
      </c>
      <c r="M30" s="27">
        <f>マスタ!L31</f>
        <v>125</v>
      </c>
      <c r="N30" s="27">
        <f>IF(ISERROR(一般汚水六段階超過料金)=TRUE,"",IF(六段階始下&gt;集合用途割数,0,IF(六段階終下&lt;集合用途割数,(六段階終下-六段階始下+1)*一般汚水六段階超過料金,(集合用途割数-六段階始下+1)*一般汚水六段階超過料金)))</f>
        <v>0</v>
      </c>
      <c r="O30" s="27">
        <f>(テーブル2[[#This Row],[ランク終]]-テーブル2[[#This Row],[ランク始]]+1)*テーブル2[[#This Row],[単価]]</f>
        <v>125000</v>
      </c>
      <c r="P30" s="32" t="str">
        <f>IF(AND(集合用途割数=テーブル2[[#This Row],[ランク始]]-1,集合用途端数&gt;0),"○",IF(テーブル2[[#This Row],[累積]]=0,"×",IF(テーブル2[[#This Row],[累積]]=テーブル2[[#This Row],[作業列1]],"×","○")))</f>
        <v>×</v>
      </c>
    </row>
    <row r="31" spans="1:16" ht="20.100000000000001" customHeight="1">
      <c r="J31" s="27">
        <f>一般汚水七段階始</f>
        <v>2001</v>
      </c>
      <c r="K31" s="31" t="str">
        <f t="shared" ca="1" si="0"/>
        <v>～</v>
      </c>
      <c r="L31" s="27">
        <f>七段階終下</f>
        <v>10000</v>
      </c>
      <c r="M31" s="27">
        <f>マスタ!L32</f>
        <v>135</v>
      </c>
      <c r="N31" s="27">
        <f>IF(ISERROR(一般汚水七段階超過料金)=TRUE,"",IF(七段階始下&gt;集合用途割数,0,IF(七段階終下&lt;集合用途割数,(七段階終下-七段階始下+1)*一般汚水七段階超過料金,(集合用途割数-七段階始下+1)*一般汚水七段階超過料金)))</f>
        <v>0</v>
      </c>
      <c r="O31" s="27">
        <f>(テーブル2[[#This Row],[ランク終]]-テーブル2[[#This Row],[ランク始]]+1)*テーブル2[[#This Row],[単価]]</f>
        <v>1080000</v>
      </c>
      <c r="P31" s="32" t="str">
        <f>IF(AND(集合用途割数=テーブル2[[#This Row],[ランク始]]-1,集合用途端数&gt;0),"○",IF(テーブル2[[#This Row],[累積]]=0,"×",IF(テーブル2[[#This Row],[累積]]=テーブル2[[#This Row],[作業列1]],"×","○")))</f>
        <v>×</v>
      </c>
    </row>
    <row r="32" spans="1:16" ht="20.100000000000001" customHeight="1">
      <c r="J32" s="27">
        <f>一般汚水八段階始</f>
        <v>10001</v>
      </c>
      <c r="K32" s="31" t="str">
        <f t="shared" ca="1" si="0"/>
        <v>～</v>
      </c>
      <c r="L32" s="27">
        <f>八段階終下</f>
        <v>20000</v>
      </c>
      <c r="M32" s="27">
        <f>マスタ!L33</f>
        <v>160</v>
      </c>
      <c r="N32" s="27">
        <f>IF(ISERROR(一般汚水八段階超過料金)=TRUE,"",IF(八段階始下&gt;集合用途割数,0,IF(八段階終下&lt;集合用途割数,(八段階終下-八段階始下+1)*一般汚水八段階超過料金,(集合用途割数-八段階始下+1)*一般汚水八段階超過料金)))</f>
        <v>0</v>
      </c>
      <c r="O32" s="27">
        <f>(テーブル2[[#This Row],[ランク終]]-テーブル2[[#This Row],[ランク始]]+1)*テーブル2[[#This Row],[単価]]</f>
        <v>1600000</v>
      </c>
      <c r="P32" s="32" t="str">
        <f>IF(AND(集合用途割数=テーブル2[[#This Row],[ランク始]]-1,集合用途端数&gt;0),"○",IF(テーブル2[[#This Row],[累積]]=0,"×",IF(テーブル2[[#This Row],[累積]]=テーブル2[[#This Row],[作業列1]],"×","○")))</f>
        <v>×</v>
      </c>
    </row>
    <row r="33" spans="10:16" ht="20.100000000000001" customHeight="1">
      <c r="J33" s="27">
        <f>一般汚水九段階始</f>
        <v>20001</v>
      </c>
      <c r="K33" s="31" t="str">
        <f t="shared" ca="1" si="0"/>
        <v>～</v>
      </c>
      <c r="L33" s="27" t="str">
        <f>九段階終下</f>
        <v/>
      </c>
      <c r="M33" s="27">
        <f>マスタ!L34</f>
        <v>175</v>
      </c>
      <c r="N33" s="27">
        <f>IF(ISERROR(一般汚水九段階超過料金)=TRUE,"",IF(九段階始下&gt;集合用途割数,0,IF(九段階終下&lt;集合用途割数,(九段階終下-九段階始下+1)*一般汚水九段階超過料金,(集合用途割数-九段階始下+1)*一般汚水九段階超過料金)))</f>
        <v>0</v>
      </c>
      <c r="P33" s="32" t="str">
        <f>IF(AND(集合用途割数=テーブル2[[#This Row],[ランク始]]-1,集合用途端数&gt;0),"○",IF(テーブル2[[#This Row],[累積]]=0,"×",IF(テーブル2[[#This Row],[累積]]=テーブル2[[#This Row],[作業列1]],"×","○")))</f>
        <v>×</v>
      </c>
    </row>
    <row r="34" spans="10:16" ht="20.100000000000001" customHeight="1"/>
    <row r="35" spans="10:16" ht="20.100000000000001" customHeight="1"/>
    <row r="36" spans="10:16" ht="20.100000000000001" customHeight="1"/>
    <row r="37" spans="10:16" ht="20.100000000000001" customHeight="1"/>
    <row r="38" spans="10:16" ht="20.100000000000001" customHeight="1"/>
    <row r="39" spans="10:16" ht="20.100000000000001" customHeight="1"/>
    <row r="40" spans="10:16" ht="20.100000000000001" customHeight="1"/>
    <row r="41" spans="10:16" ht="20.100000000000001" customHeight="1"/>
    <row r="42" spans="10:16" ht="20.100000000000001" customHeight="1"/>
    <row r="43" spans="10:16" ht="20.100000000000001" customHeight="1"/>
    <row r="44" spans="10:16" ht="20.100000000000001" customHeight="1"/>
    <row r="45" spans="10:16" ht="20.100000000000001" customHeight="1"/>
    <row r="46" spans="10:16" ht="20.100000000000001" customHeight="1"/>
  </sheetData>
  <sheetProtection password="8763" sheet="1" objects="1" scenarios="1"/>
  <mergeCells count="10">
    <mergeCell ref="C21:F21"/>
    <mergeCell ref="D16:E16"/>
    <mergeCell ref="D4:E4"/>
    <mergeCell ref="C13:C16"/>
    <mergeCell ref="D14:E14"/>
    <mergeCell ref="D15:E15"/>
    <mergeCell ref="C17:C20"/>
    <mergeCell ref="D19:E19"/>
    <mergeCell ref="D18:E18"/>
    <mergeCell ref="D20:E20"/>
  </mergeCells>
  <phoneticPr fontId="3"/>
  <dataValidations count="2">
    <dataValidation imeMode="off" allowBlank="1" showInputMessage="1" showErrorMessage="1" sqref="D8 D6"/>
    <dataValidation type="list" allowBlank="1" showInputMessage="1" showErrorMessage="1" sqref="D4">
      <formula1>"集合家事用（アパート、マンション等）,集合営業用（スーパー等）"</formula1>
    </dataValidation>
  </dataValidations>
  <pageMargins left="0.7" right="0.7" top="0.75" bottom="0.75" header="0.3" footer="0.3"/>
  <pageSetup paperSize="9" orientation="landscape" r:id="rId1"/>
  <legacy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141</vt:i4>
      </vt:variant>
    </vt:vector>
  </HeadingPairs>
  <TitlesOfParts>
    <vt:vector size="144" baseType="lpstr">
      <vt:lpstr>水道料金計算表</vt:lpstr>
      <vt:lpstr>マスタ</vt:lpstr>
      <vt:lpstr>集合用途料金計算表</vt:lpstr>
      <vt:lpstr>集合用途料金計算表!Print_Area</vt:lpstr>
      <vt:lpstr>一段階始</vt:lpstr>
      <vt:lpstr>一段階始下</vt:lpstr>
      <vt:lpstr>一段階終</vt:lpstr>
      <vt:lpstr>一段階終下</vt:lpstr>
      <vt:lpstr>一般汚水一段階始</vt:lpstr>
      <vt:lpstr>一般汚水一段階終</vt:lpstr>
      <vt:lpstr>一般汚水一段階超過料金</vt:lpstr>
      <vt:lpstr>一般汚水基本水量</vt:lpstr>
      <vt:lpstr>一般汚水基本料金</vt:lpstr>
      <vt:lpstr>一般汚水九段階始</vt:lpstr>
      <vt:lpstr>一般汚水九段階終</vt:lpstr>
      <vt:lpstr>一般汚水九段階超過料金</vt:lpstr>
      <vt:lpstr>一般汚水五段階始</vt:lpstr>
      <vt:lpstr>一般汚水五段階終</vt:lpstr>
      <vt:lpstr>一般汚水五段階超過料金</vt:lpstr>
      <vt:lpstr>一般汚水三段階始</vt:lpstr>
      <vt:lpstr>一般汚水三段階終</vt:lpstr>
      <vt:lpstr>一般汚水三段階超過料金</vt:lpstr>
      <vt:lpstr>一般汚水四段階始</vt:lpstr>
      <vt:lpstr>一般汚水四段階終</vt:lpstr>
      <vt:lpstr>一般汚水四段階超過料金</vt:lpstr>
      <vt:lpstr>一般汚水七段階始</vt:lpstr>
      <vt:lpstr>一般汚水七段階終</vt:lpstr>
      <vt:lpstr>一般汚水七段階超過料金</vt:lpstr>
      <vt:lpstr>一般汚水二段階始</vt:lpstr>
      <vt:lpstr>一般汚水二段階終</vt:lpstr>
      <vt:lpstr>一般汚水二段階超過料金</vt:lpstr>
      <vt:lpstr>一般汚水八段階始</vt:lpstr>
      <vt:lpstr>一般汚水八段階終</vt:lpstr>
      <vt:lpstr>一般汚水八段階超過料金</vt:lpstr>
      <vt:lpstr>一般汚水六段階始</vt:lpstr>
      <vt:lpstr>一般汚水六段階終</vt:lpstr>
      <vt:lpstr>一般汚水六段階超過料金</vt:lpstr>
      <vt:lpstr>営業用・官公署用一段階始</vt:lpstr>
      <vt:lpstr>営業用・官公署用一段階終</vt:lpstr>
      <vt:lpstr>営業用・官公署用一段階超過料金</vt:lpstr>
      <vt:lpstr>営業用・官公署用基本水量</vt:lpstr>
      <vt:lpstr>営業用・官公署用基本料金</vt:lpstr>
      <vt:lpstr>営業用・官公署用三段階始</vt:lpstr>
      <vt:lpstr>営業用・官公署用三段階終</vt:lpstr>
      <vt:lpstr>営業用・官公署用三段階超過料金</vt:lpstr>
      <vt:lpstr>営業用・官公署用二段階始</vt:lpstr>
      <vt:lpstr>営業用・官公署用二段階終</vt:lpstr>
      <vt:lpstr>営業用・官公署用二段階超過料金</vt:lpstr>
      <vt:lpstr>下水道接続</vt:lpstr>
      <vt:lpstr>家事用一段階始</vt:lpstr>
      <vt:lpstr>家事用一段階終</vt:lpstr>
      <vt:lpstr>家事用一段階超過料金</vt:lpstr>
      <vt:lpstr>家事用基本水量</vt:lpstr>
      <vt:lpstr>家事用基本料金</vt:lpstr>
      <vt:lpstr>家事用五段階始</vt:lpstr>
      <vt:lpstr>家事用五段階終</vt:lpstr>
      <vt:lpstr>家事用五段階超過料金</vt:lpstr>
      <vt:lpstr>家事用三段階始</vt:lpstr>
      <vt:lpstr>家事用三段階終</vt:lpstr>
      <vt:lpstr>家事用三段階超過料金</vt:lpstr>
      <vt:lpstr>家事用四段階始</vt:lpstr>
      <vt:lpstr>家事用四段階終</vt:lpstr>
      <vt:lpstr>家事用四段階超過料金</vt:lpstr>
      <vt:lpstr>家事用二段階始</vt:lpstr>
      <vt:lpstr>家事用二段階終</vt:lpstr>
      <vt:lpstr>家事用二段階超過料金</vt:lpstr>
      <vt:lpstr>家事用六段階始</vt:lpstr>
      <vt:lpstr>家事用六段階終</vt:lpstr>
      <vt:lpstr>家事用六段階超過料金</vt:lpstr>
      <vt:lpstr>九段階始下</vt:lpstr>
      <vt:lpstr>九段階終下</vt:lpstr>
      <vt:lpstr>戸数</vt:lpstr>
      <vt:lpstr>五段階始</vt:lpstr>
      <vt:lpstr>五段階始下</vt:lpstr>
      <vt:lpstr>五段階終</vt:lpstr>
      <vt:lpstr>五段階終下</vt:lpstr>
      <vt:lpstr>工場用一段階始</vt:lpstr>
      <vt:lpstr>工場用一段階終</vt:lpstr>
      <vt:lpstr>工場用一段階超過料金</vt:lpstr>
      <vt:lpstr>工場用基本水量</vt:lpstr>
      <vt:lpstr>工場用基本料金</vt:lpstr>
      <vt:lpstr>工場用五段階始</vt:lpstr>
      <vt:lpstr>工場用五段階終</vt:lpstr>
      <vt:lpstr>工場用五段階超過料金</vt:lpstr>
      <vt:lpstr>工場用三段階始</vt:lpstr>
      <vt:lpstr>工場用三段階終</vt:lpstr>
      <vt:lpstr>工場用三段階超過料金</vt:lpstr>
      <vt:lpstr>工場用四段階始</vt:lpstr>
      <vt:lpstr>工場用四段階終</vt:lpstr>
      <vt:lpstr>工場用四段階超過料金</vt:lpstr>
      <vt:lpstr>工場用二段階始</vt:lpstr>
      <vt:lpstr>工場用二段階終</vt:lpstr>
      <vt:lpstr>工場用二段階超過料金</vt:lpstr>
      <vt:lpstr>三段階始</vt:lpstr>
      <vt:lpstr>三段階始下</vt:lpstr>
      <vt:lpstr>三段階終</vt:lpstr>
      <vt:lpstr>三段階終下</vt:lpstr>
      <vt:lpstr>使用月数</vt:lpstr>
      <vt:lpstr>使用水量</vt:lpstr>
      <vt:lpstr>四段階始</vt:lpstr>
      <vt:lpstr>四段階始下</vt:lpstr>
      <vt:lpstr>四段階終</vt:lpstr>
      <vt:lpstr>四段階終下</vt:lpstr>
      <vt:lpstr>七段階始下</vt:lpstr>
      <vt:lpstr>七段階終下</vt:lpstr>
      <vt:lpstr>集合用途</vt:lpstr>
      <vt:lpstr>集合用途一段階始</vt:lpstr>
      <vt:lpstr>集合用途一段階終</vt:lpstr>
      <vt:lpstr>集合用途割数</vt:lpstr>
      <vt:lpstr>集合用途五段階始</vt:lpstr>
      <vt:lpstr>集合用途五段階終</vt:lpstr>
      <vt:lpstr>集合用途三段階始</vt:lpstr>
      <vt:lpstr>集合用途三段階終</vt:lpstr>
      <vt:lpstr>集合用途四段階始</vt:lpstr>
      <vt:lpstr>集合用途四段階終</vt:lpstr>
      <vt:lpstr>集合用途端数</vt:lpstr>
      <vt:lpstr>集合用途二段階始</vt:lpstr>
      <vt:lpstr>集合用途二段階終</vt:lpstr>
      <vt:lpstr>集合用途六段階始</vt:lpstr>
      <vt:lpstr>集合用途六段階終</vt:lpstr>
      <vt:lpstr>消費税率</vt:lpstr>
      <vt:lpstr>上水道接続</vt:lpstr>
      <vt:lpstr>親メーター使用水量</vt:lpstr>
      <vt:lpstr>二段階始</vt:lpstr>
      <vt:lpstr>二段階始下</vt:lpstr>
      <vt:lpstr>二段階終</vt:lpstr>
      <vt:lpstr>二段階終下</vt:lpstr>
      <vt:lpstr>八段階始下</vt:lpstr>
      <vt:lpstr>八段階終下</vt:lpstr>
      <vt:lpstr>用途</vt:lpstr>
      <vt:lpstr>浴場用一段階始</vt:lpstr>
      <vt:lpstr>浴場用一段階終</vt:lpstr>
      <vt:lpstr>浴場用一段階超過料金</vt:lpstr>
      <vt:lpstr>浴場用基本水量</vt:lpstr>
      <vt:lpstr>浴場用基本料金</vt:lpstr>
      <vt:lpstr>臨時用一段階始</vt:lpstr>
      <vt:lpstr>臨時用一段階終</vt:lpstr>
      <vt:lpstr>臨時用一段階超過料金</vt:lpstr>
      <vt:lpstr>臨時用基本水量</vt:lpstr>
      <vt:lpstr>臨時用基本料金</vt:lpstr>
      <vt:lpstr>六段階始</vt:lpstr>
      <vt:lpstr>六段階始下</vt:lpstr>
      <vt:lpstr>六段階終</vt:lpstr>
      <vt:lpstr>六段階終下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大塚 拓矢</cp:lastModifiedBy>
  <cp:lastPrinted>2018-10-24T03:00:24Z</cp:lastPrinted>
  <dcterms:created xsi:type="dcterms:W3CDTF">2006-09-16T00:00:00Z</dcterms:created>
  <dcterms:modified xsi:type="dcterms:W3CDTF">2019-10-29T03:05:26Z</dcterms:modified>
</cp:coreProperties>
</file>